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erim.zhabari\Desktop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R82" i="6" l="1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O79" i="12" l="1"/>
  <c r="O78" i="12"/>
  <c r="O77" i="12"/>
  <c r="O76" i="12"/>
  <c r="O75" i="12"/>
  <c r="L79" i="12"/>
  <c r="L78" i="12"/>
  <c r="L77" i="12"/>
  <c r="L76" i="12"/>
  <c r="L75" i="12"/>
  <c r="P74" i="12" l="1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R72" i="12" s="1"/>
  <c r="B72" i="12"/>
  <c r="F71" i="12"/>
  <c r="E71" i="12" s="1"/>
  <c r="D71" i="12" s="1"/>
  <c r="C71" i="12"/>
  <c r="R71" i="12" s="1"/>
  <c r="B71" i="12"/>
  <c r="F70" i="12"/>
  <c r="E70" i="12" s="1"/>
  <c r="D70" i="12" s="1"/>
  <c r="C70" i="12"/>
  <c r="R70" i="12" s="1"/>
  <c r="B70" i="12"/>
  <c r="F69" i="12"/>
  <c r="E69" i="12" s="1"/>
  <c r="D69" i="12" s="1"/>
  <c r="C69" i="12"/>
  <c r="R69" i="12" s="1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D78" i="6" l="1"/>
  <c r="C78" i="6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R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 s="1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 s="1"/>
  <c r="B51" i="6"/>
  <c r="Y50" i="6"/>
  <c r="S50" i="6"/>
  <c r="M50" i="6"/>
  <c r="I50" i="6"/>
  <c r="E50" i="6" s="1"/>
  <c r="B50" i="6"/>
  <c r="Y49" i="6"/>
  <c r="S49" i="6"/>
  <c r="M49" i="6"/>
  <c r="K49" i="6"/>
  <c r="K57" i="6" s="1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B47" i="6"/>
  <c r="Y46" i="6"/>
  <c r="S46" i="6"/>
  <c r="I46" i="6"/>
  <c r="E46" i="6" s="1"/>
  <c r="B46" i="6"/>
  <c r="Y45" i="6"/>
  <c r="S45" i="6"/>
  <c r="I45" i="6"/>
  <c r="E45" i="6" s="1"/>
  <c r="B45" i="6"/>
  <c r="E4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<sst xmlns="http://schemas.openxmlformats.org/spreadsheetml/2006/main" count="952" uniqueCount="878">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</sst>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43" fontId="0" fillId="2" borderId="0" xfId="1" applyFont="1" applyFill="1" applyAlignment="1">
      <alignment horizontal="center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83"/>
  <sheetViews>
    <sheetView tabSelected="1" zoomScale="85" zoomScaleNormal="85" zoomScaleSheetLayoutView="80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N77" sqref="N77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1" bestFit="1" customWidth="1"/>
    <col min="4" max="4" width="19.7109375" style="91" hidden="1" customWidth="1"/>
    <col min="5" max="5" width="17.28515625" style="91" hidden="1" customWidth="1"/>
    <col min="6" max="6" width="15" style="102" hidden="1" customWidth="1"/>
    <col min="7" max="7" width="12.85546875" style="102" hidden="1" customWidth="1"/>
    <col min="8" max="8" width="10.7109375" style="102" hidden="1" customWidth="1"/>
    <col min="9" max="9" width="19.5703125" style="102" hidden="1" customWidth="1"/>
    <col min="10" max="10" width="21.28515625" style="102" hidden="1" customWidth="1"/>
    <col min="11" max="11" width="12.42578125" style="102" hidden="1" customWidth="1"/>
    <col min="12" max="12" width="19.140625" style="102" hidden="1" customWidth="1"/>
    <col min="13" max="13" width="16.7109375" style="102" bestFit="1" customWidth="1"/>
    <col min="14" max="14" width="12.5703125" style="91" bestFit="1" customWidth="1"/>
    <col min="15" max="15" width="11.5703125" style="91" bestFit="1" customWidth="1"/>
    <col min="16" max="16" width="11.28515625" style="91" bestFit="1" customWidth="1"/>
    <col min="17" max="17" width="13.5703125" style="91" customWidth="1"/>
    <col min="18" max="18" width="14.85546875" style="91" bestFit="1" customWidth="1"/>
    <col min="19" max="19" width="11.28515625" style="91" bestFit="1" customWidth="1"/>
    <col min="20" max="20" width="11.28515625" style="89" bestFit="1" customWidth="1"/>
    <col min="21" max="21" width="10.7109375" style="89" bestFit="1" customWidth="1"/>
    <col min="22" max="22" width="11.42578125" style="91" bestFit="1" customWidth="1"/>
    <col min="23" max="23" width="9.7109375" style="91" customWidth="1"/>
    <col min="24" max="24" width="10.42578125" style="91" customWidth="1"/>
    <col min="25" max="25" width="11.28515625" style="91" customWidth="1"/>
    <col min="26" max="26" width="11.28515625" style="91" bestFit="1" customWidth="1"/>
    <col min="27" max="27" width="10.7109375" style="91" bestFit="1" customWidth="1"/>
    <col min="28" max="29" width="9.140625" style="91"/>
    <col min="30" max="30" width="10.85546875" style="91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9"/>
      <c r="D1" s="140" t="s">
        <v>609</v>
      </c>
      <c r="E1" s="89"/>
      <c r="F1" s="90"/>
      <c r="G1" s="90"/>
      <c r="H1" s="90"/>
      <c r="I1" s="90"/>
      <c r="J1" s="90"/>
      <c r="K1" s="90"/>
      <c r="L1" s="90"/>
      <c r="M1" s="90"/>
      <c r="N1" s="89"/>
      <c r="O1" s="89"/>
      <c r="P1" s="89"/>
      <c r="Q1" s="89"/>
      <c r="R1" s="89"/>
    </row>
    <row r="2" spans="1:30" ht="18.75" customHeight="1" x14ac:dyDescent="0.25">
      <c r="A2" s="88" t="s">
        <v>876</v>
      </c>
      <c r="B2" s="78"/>
      <c r="C2" s="92"/>
      <c r="D2" s="141"/>
      <c r="E2" s="93"/>
      <c r="F2" s="90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30" s="79" customFormat="1" ht="12.75" customHeight="1" x14ac:dyDescent="0.25">
      <c r="A3" s="142"/>
      <c r="B3" s="142"/>
      <c r="C3" s="95"/>
      <c r="D3" s="96"/>
      <c r="E3" s="97"/>
      <c r="F3" s="98"/>
      <c r="G3" s="98"/>
      <c r="H3" s="98"/>
      <c r="I3" s="98"/>
      <c r="J3" s="98"/>
      <c r="K3" s="98"/>
      <c r="L3" s="99"/>
      <c r="M3" s="97"/>
      <c r="N3" s="100"/>
      <c r="O3" s="100"/>
      <c r="P3" s="100"/>
      <c r="Q3" s="100"/>
      <c r="R3" s="101"/>
      <c r="S3" s="97"/>
      <c r="T3" s="100"/>
      <c r="U3" s="100"/>
      <c r="V3" s="100"/>
      <c r="W3" s="100"/>
      <c r="X3" s="101"/>
      <c r="Y3" s="97"/>
      <c r="Z3" s="100"/>
      <c r="AA3" s="100"/>
      <c r="AB3" s="100"/>
      <c r="AC3" s="100"/>
      <c r="AD3" s="101"/>
    </row>
    <row r="4" spans="1:30" s="129" customFormat="1" ht="12.75" customHeight="1" x14ac:dyDescent="0.25">
      <c r="A4" s="142"/>
      <c r="B4" s="142"/>
      <c r="C4" s="113"/>
      <c r="D4" s="114"/>
      <c r="E4" s="115"/>
      <c r="F4" s="116"/>
      <c r="G4" s="116"/>
      <c r="H4" s="116"/>
      <c r="I4" s="117"/>
      <c r="J4" s="118"/>
      <c r="K4" s="119"/>
      <c r="L4" s="116"/>
      <c r="M4" s="136" t="str">
        <f>IF(L!$A$1=1,L!S4,IF(L!$A$1=2,L!S13,L!S23))</f>
        <v>Qeveria Lokale</v>
      </c>
      <c r="N4" s="120"/>
      <c r="O4" s="116"/>
      <c r="P4" s="116"/>
      <c r="Q4" s="116"/>
      <c r="R4" s="116"/>
      <c r="S4" s="135" t="s">
        <v>868</v>
      </c>
      <c r="T4" s="120"/>
      <c r="U4" s="116"/>
      <c r="V4" s="116"/>
      <c r="W4" s="116"/>
      <c r="X4" s="116"/>
      <c r="Y4" s="135" t="s">
        <v>869</v>
      </c>
      <c r="Z4" s="120"/>
      <c r="AA4" s="116"/>
      <c r="AB4" s="116"/>
      <c r="AC4" s="116"/>
      <c r="AD4" s="116"/>
    </row>
    <row r="5" spans="1:30" s="130" customFormat="1" ht="57" customHeight="1" x14ac:dyDescent="0.25">
      <c r="A5" s="143"/>
      <c r="B5" s="143"/>
      <c r="C5" s="121" t="str">
        <f>IF(L!$A$1=1,L!I4,IF(L!$A$1=2,L!I13,L!I23))</f>
        <v>Gjithsejt Pagesat</v>
      </c>
      <c r="D5" s="121" t="str">
        <f>IF(L!$A$1=1,L!J4,IF(L!$A$1=2,L!J13,L!J23))</f>
        <v>Shpenzimet</v>
      </c>
      <c r="E5" s="121" t="str">
        <f>IF(L!$A$1=1,L!K4,IF(L!$A$1=2,L!K13,L!K23))</f>
        <v>Qeveria Qendrore</v>
      </c>
      <c r="F5" s="121" t="str">
        <f>IF(L!$A$1=1,L!L4,IF(L!$A$1=2,L!L13,L!L23))</f>
        <v>Paga</v>
      </c>
      <c r="G5" s="121" t="str">
        <f>IF(L!$A$1=1,L!M4,IF(L!$A$1=2,L!M13,L!M23))</f>
        <v>Mallëra dhe shërbime</v>
      </c>
      <c r="H5" s="121" t="str">
        <f>IF(L!$A$1=1,L!N4,IF(L!$A$1=2,L!N13,L!N23))</f>
        <v>Shpenzime komunale</v>
      </c>
      <c r="I5" s="121" t="str">
        <f>IF(L!$A$1=1,L!O4,IF(L!$A$1=2,L!O13,L!O23))</f>
        <v>Subvencione dhe Transfere</v>
      </c>
      <c r="J5" s="121" t="str">
        <f>IF(L!$A$1=1,L!P4,IF(L!$A$1=2,L!P13,L!P23))</f>
        <v>Transfere Sociale</v>
      </c>
      <c r="K5" s="121" t="str">
        <f>IF(L!$A$1=1,L!Q4,IF(L!$A$1=2,L!Q13,L!Q23))</f>
        <v>Subvencione</v>
      </c>
      <c r="L5" s="121" t="str">
        <f>IF(L!$A$1=1,L!R4,IF(L!$A$1=2,L!R13,L!R23))</f>
        <v>Shpenzime Kapitale</v>
      </c>
      <c r="M5" s="136"/>
      <c r="N5" s="121" t="str">
        <f>IF(L!$A$1=1,L!T4,IF(L!$A$1=2,L!T13,L!T23))</f>
        <v>Paga</v>
      </c>
      <c r="O5" s="121" t="str">
        <f>IF(L!$A$1=1,L!U4,IF(L!$A$1=2,L!U13,L!U23))</f>
        <v>Mallra dhe shërbime</v>
      </c>
      <c r="P5" s="121" t="str">
        <f>IF(L!$A$1=1,L!V4,IF(L!$A$1=2,L!V13,L!V23))</f>
        <v>Shpenzime komunale</v>
      </c>
      <c r="Q5" s="121" t="str">
        <f>IF(L!$A$1=1,L!W4,IF(L!$A$1=2,L!W13,L!W23))</f>
        <v>Subvencione dhe Transfere</v>
      </c>
      <c r="R5" s="121" t="str">
        <f>IF(L!$A$1=1,L!X4,IF(L!$A$1=2,L!X13,L!X23))</f>
        <v>Shpenzime Kapitale</v>
      </c>
      <c r="S5" s="135"/>
      <c r="T5" s="121" t="s">
        <v>0</v>
      </c>
      <c r="U5" s="121" t="s">
        <v>32</v>
      </c>
      <c r="V5" s="121" t="s">
        <v>33</v>
      </c>
      <c r="W5" s="121" t="s">
        <v>21</v>
      </c>
      <c r="X5" s="121" t="s">
        <v>35</v>
      </c>
      <c r="Y5" s="135"/>
      <c r="Z5" s="121" t="s">
        <v>0</v>
      </c>
      <c r="AA5" s="121" t="s">
        <v>32</v>
      </c>
      <c r="AB5" s="121" t="s">
        <v>33</v>
      </c>
      <c r="AC5" s="121" t="s">
        <v>21</v>
      </c>
      <c r="AD5" s="121" t="s">
        <v>35</v>
      </c>
    </row>
    <row r="6" spans="1:30" s="107" customFormat="1" x14ac:dyDescent="0.25">
      <c r="A6" s="137">
        <v>2015</v>
      </c>
      <c r="B6" s="104" t="str">
        <f>IF(L!$A$1=1,L!B127,IF(L!$A$1=2,L!C127,L!D127))</f>
        <v>2015 Janar</v>
      </c>
      <c r="C6" s="105">
        <f>M6+S6+Y6</f>
        <v>745577.87</v>
      </c>
      <c r="D6" s="105">
        <f t="shared" ref="D6:D17" si="0">E6+M6</f>
        <v>171197.60219000003</v>
      </c>
      <c r="E6" s="105">
        <f t="shared" ref="E6:E17" si="1">F6+G6+H6+I6+L6</f>
        <v>49254.672189999997</v>
      </c>
      <c r="F6" s="106">
        <v>22437.73558</v>
      </c>
      <c r="G6" s="106">
        <v>1057.62814</v>
      </c>
      <c r="H6" s="106">
        <v>593.24414000000002</v>
      </c>
      <c r="I6" s="106">
        <f t="shared" ref="I6:I17" si="2">SUM(J6:K6)</f>
        <v>25166.064330000001</v>
      </c>
      <c r="J6" s="106">
        <v>21966.599839999999</v>
      </c>
      <c r="K6" s="106">
        <v>3199.4644900000021</v>
      </c>
      <c r="L6" s="106">
        <v>0</v>
      </c>
      <c r="M6" s="111">
        <f t="shared" ref="M6:M17" si="3">SUM(N6:R6)</f>
        <v>121942.93000000004</v>
      </c>
      <c r="N6" s="105">
        <v>113046.19000000003</v>
      </c>
      <c r="O6" s="105">
        <v>60</v>
      </c>
      <c r="P6" s="105">
        <f>9826.32-V6-AB6</f>
        <v>8836.74</v>
      </c>
      <c r="Q6" s="105"/>
      <c r="R6" s="105"/>
      <c r="S6" s="132">
        <f t="shared" ref="S6:S17" si="4">SUM(T6:X6)</f>
        <v>514803.47000000003</v>
      </c>
      <c r="T6" s="105">
        <v>513813.89</v>
      </c>
      <c r="U6" s="105"/>
      <c r="V6" s="105">
        <v>989.58</v>
      </c>
      <c r="W6" s="105"/>
      <c r="X6" s="105"/>
      <c r="Y6" s="132">
        <f t="shared" ref="Y6:Y15" si="5">SUM(Z6:AD6)</f>
        <v>108831.47</v>
      </c>
      <c r="Z6" s="105">
        <v>108831.47</v>
      </c>
      <c r="AA6" s="105"/>
      <c r="AB6" s="105"/>
      <c r="AC6" s="105"/>
      <c r="AD6" s="105"/>
    </row>
    <row r="7" spans="1:30" s="107" customFormat="1" x14ac:dyDescent="0.25">
      <c r="A7" s="137"/>
      <c r="B7" s="104" t="str">
        <f>IF(L!$A$1=1,L!B128,IF(L!$A$1=2,L!C128,L!D128))</f>
        <v>2015 Shkurt</v>
      </c>
      <c r="C7" s="105">
        <f t="shared" ref="C7:C44" si="6">M7+S7+Y7</f>
        <v>1018553.0800000001</v>
      </c>
      <c r="D7" s="105">
        <f t="shared" si="0"/>
        <v>378704.01517000003</v>
      </c>
      <c r="E7" s="105">
        <f t="shared" si="1"/>
        <v>79184.945170000006</v>
      </c>
      <c r="F7" s="106">
        <v>22559.534029999999</v>
      </c>
      <c r="G7" s="106">
        <v>11594.898069999999</v>
      </c>
      <c r="H7" s="106">
        <v>2010.4006399999998</v>
      </c>
      <c r="I7" s="106">
        <f t="shared" si="2"/>
        <v>35339.037120000001</v>
      </c>
      <c r="J7" s="106">
        <v>26925.340039999999</v>
      </c>
      <c r="K7" s="106">
        <v>8413.6970800000017</v>
      </c>
      <c r="L7" s="106">
        <v>7681.0753100000002</v>
      </c>
      <c r="M7" s="105">
        <f t="shared" si="3"/>
        <v>299519.07</v>
      </c>
      <c r="N7" s="105">
        <v>188686.3</v>
      </c>
      <c r="O7" s="105">
        <v>70320.12</v>
      </c>
      <c r="P7" s="105">
        <f>32536.69-V7-AB7</f>
        <v>13302.449999999999</v>
      </c>
      <c r="Q7" s="105">
        <f>12020-W7-AC7</f>
        <v>990</v>
      </c>
      <c r="R7" s="105">
        <v>26220.2</v>
      </c>
      <c r="S7" s="133">
        <f t="shared" si="4"/>
        <v>585756.81000000006</v>
      </c>
      <c r="T7" s="105">
        <v>524845.42000000004</v>
      </c>
      <c r="U7" s="105">
        <v>42709.66</v>
      </c>
      <c r="V7" s="105">
        <v>12701.73</v>
      </c>
      <c r="W7" s="105">
        <v>5500</v>
      </c>
      <c r="X7" s="105"/>
      <c r="Y7" s="133">
        <f t="shared" si="5"/>
        <v>133277.20000000001</v>
      </c>
      <c r="Z7" s="105">
        <v>110819.33</v>
      </c>
      <c r="AA7" s="105">
        <v>10395.36</v>
      </c>
      <c r="AB7" s="105">
        <v>6532.51</v>
      </c>
      <c r="AC7" s="105">
        <v>5530</v>
      </c>
      <c r="AD7" s="105"/>
    </row>
    <row r="8" spans="1:30" s="107" customFormat="1" x14ac:dyDescent="0.25">
      <c r="A8" s="137"/>
      <c r="B8" s="104" t="str">
        <f>IF(L!$A$1=1,L!B129,IF(L!$A$1=2,L!C129,L!D129))</f>
        <v xml:space="preserve">2015 Mars </v>
      </c>
      <c r="C8" s="105">
        <f t="shared" si="6"/>
        <v>934559.38000000012</v>
      </c>
      <c r="D8" s="105">
        <f t="shared" si="0"/>
        <v>304528.03026000003</v>
      </c>
      <c r="E8" s="105">
        <f t="shared" si="1"/>
        <v>80068.700260000012</v>
      </c>
      <c r="F8" s="106">
        <v>22969.739990000002</v>
      </c>
      <c r="G8" s="106">
        <v>9928.8418999999994</v>
      </c>
      <c r="H8" s="106">
        <v>1367.8959</v>
      </c>
      <c r="I8" s="106">
        <f t="shared" si="2"/>
        <v>31091.348050000001</v>
      </c>
      <c r="J8" s="106">
        <v>23087.762490000001</v>
      </c>
      <c r="K8" s="106">
        <v>8003.5855599999995</v>
      </c>
      <c r="L8" s="106">
        <v>14710.87442</v>
      </c>
      <c r="M8" s="105">
        <f t="shared" si="3"/>
        <v>224459.33000000005</v>
      </c>
      <c r="N8" s="105">
        <v>111927.69000000006</v>
      </c>
      <c r="O8" s="105">
        <v>46304.61</v>
      </c>
      <c r="P8" s="105">
        <f>24673.93-V8-AB8</f>
        <v>13722.869999999999</v>
      </c>
      <c r="Q8" s="105">
        <f>58650-W8-AC8</f>
        <v>33200</v>
      </c>
      <c r="R8" s="105">
        <v>19304.16</v>
      </c>
      <c r="S8" s="133">
        <f t="shared" si="4"/>
        <v>562616.02</v>
      </c>
      <c r="T8" s="105">
        <v>515945.79</v>
      </c>
      <c r="U8" s="105">
        <v>36733.21</v>
      </c>
      <c r="V8" s="105">
        <v>7457.02</v>
      </c>
      <c r="W8" s="105">
        <v>2480</v>
      </c>
      <c r="X8" s="105"/>
      <c r="Y8" s="133">
        <f t="shared" si="5"/>
        <v>147484.02999999997</v>
      </c>
      <c r="Z8" s="105">
        <v>111696.56</v>
      </c>
      <c r="AA8" s="105">
        <v>9323.43</v>
      </c>
      <c r="AB8" s="105">
        <v>3494.04</v>
      </c>
      <c r="AC8" s="105">
        <v>22970</v>
      </c>
      <c r="AD8" s="105"/>
    </row>
    <row r="9" spans="1:30" s="107" customFormat="1" x14ac:dyDescent="0.25">
      <c r="A9" s="137"/>
      <c r="B9" s="104" t="str">
        <f>IF(L!$A$1=1,L!B130,IF(L!$A$1=2,L!C130,L!D130))</f>
        <v>2015 Prill</v>
      </c>
      <c r="C9" s="105">
        <f t="shared" si="6"/>
        <v>941850.98</v>
      </c>
      <c r="D9" s="105">
        <f t="shared" si="0"/>
        <v>266330.67823000008</v>
      </c>
      <c r="E9" s="105">
        <f t="shared" si="1"/>
        <v>92397.66823000001</v>
      </c>
      <c r="F9" s="106">
        <v>22880.341100000009</v>
      </c>
      <c r="G9" s="106">
        <v>14999.273039999998</v>
      </c>
      <c r="H9" s="106">
        <v>2000.2985200000003</v>
      </c>
      <c r="I9" s="106">
        <f t="shared" si="2"/>
        <v>40454.004580000001</v>
      </c>
      <c r="J9" s="106">
        <v>25533.62801</v>
      </c>
      <c r="K9" s="106">
        <v>14920.37657</v>
      </c>
      <c r="L9" s="106">
        <v>12063.75099</v>
      </c>
      <c r="M9" s="105">
        <f t="shared" si="3"/>
        <v>173933.01000000004</v>
      </c>
      <c r="N9" s="105">
        <v>111215.58000000002</v>
      </c>
      <c r="O9" s="105">
        <v>31423.78000000001</v>
      </c>
      <c r="P9" s="105">
        <f>31118.07-V9-AB9</f>
        <v>14075.669999999998</v>
      </c>
      <c r="Q9" s="105">
        <f>37101.95-W9-AC9</f>
        <v>8258.9499999999971</v>
      </c>
      <c r="R9" s="105">
        <v>8959.0300000000007</v>
      </c>
      <c r="S9" s="133">
        <f t="shared" si="4"/>
        <v>617120.53999999992</v>
      </c>
      <c r="T9" s="105">
        <v>536944.6</v>
      </c>
      <c r="U9" s="105">
        <v>59232.49</v>
      </c>
      <c r="V9" s="105">
        <v>13500.45</v>
      </c>
      <c r="W9" s="105">
        <v>7443</v>
      </c>
      <c r="X9" s="105"/>
      <c r="Y9" s="133">
        <f t="shared" si="5"/>
        <v>150797.43</v>
      </c>
      <c r="Z9" s="105">
        <v>112830.43</v>
      </c>
      <c r="AA9" s="105">
        <v>13025.05</v>
      </c>
      <c r="AB9" s="105">
        <v>3541.95</v>
      </c>
      <c r="AC9" s="105">
        <v>21400</v>
      </c>
      <c r="AD9" s="105"/>
    </row>
    <row r="10" spans="1:30" s="107" customFormat="1" x14ac:dyDescent="0.25">
      <c r="A10" s="137"/>
      <c r="B10" s="104" t="str">
        <f>IF(L!$A$1=1,L!B131,IF(L!$A$1=2,L!C131,L!D131))</f>
        <v>2015 Maj</v>
      </c>
      <c r="C10" s="105">
        <f t="shared" si="6"/>
        <v>1112011.8900000001</v>
      </c>
      <c r="D10" s="105">
        <f t="shared" si="0"/>
        <v>426463.86712000007</v>
      </c>
      <c r="E10" s="105">
        <f t="shared" si="1"/>
        <v>85661.267120000004</v>
      </c>
      <c r="F10" s="106">
        <v>23773.203939999999</v>
      </c>
      <c r="G10" s="106">
        <v>13517.94226</v>
      </c>
      <c r="H10" s="106">
        <v>1098.20859</v>
      </c>
      <c r="I10" s="106">
        <f t="shared" si="2"/>
        <v>29239.275570000002</v>
      </c>
      <c r="J10" s="106">
        <v>25043.973529999996</v>
      </c>
      <c r="K10" s="106">
        <v>4195.3020400000059</v>
      </c>
      <c r="L10" s="106">
        <v>18032.636759999998</v>
      </c>
      <c r="M10" s="105">
        <f t="shared" si="3"/>
        <v>340802.60000000009</v>
      </c>
      <c r="N10" s="105">
        <v>118812.67000000007</v>
      </c>
      <c r="O10" s="105">
        <v>45682.960000000006</v>
      </c>
      <c r="P10" s="105">
        <f>15448.98-V10-AB10</f>
        <v>9453.08</v>
      </c>
      <c r="Q10" s="105">
        <f>13050-W10-AC10</f>
        <v>800</v>
      </c>
      <c r="R10" s="105">
        <f>169034.89-AD10</f>
        <v>166053.89000000001</v>
      </c>
      <c r="S10" s="133">
        <f t="shared" si="4"/>
        <v>611372.72</v>
      </c>
      <c r="T10" s="105">
        <v>558706.81999999995</v>
      </c>
      <c r="U10" s="105">
        <v>48479.97</v>
      </c>
      <c r="V10" s="105">
        <v>4185.93</v>
      </c>
      <c r="W10" s="105">
        <v>0</v>
      </c>
      <c r="X10" s="105"/>
      <c r="Y10" s="133">
        <f>SUM(Z10:AD10)</f>
        <v>159836.57</v>
      </c>
      <c r="Z10" s="105">
        <v>123467.9</v>
      </c>
      <c r="AA10" s="105">
        <v>19327.7</v>
      </c>
      <c r="AB10" s="105">
        <v>1809.97</v>
      </c>
      <c r="AC10" s="105">
        <v>12250</v>
      </c>
      <c r="AD10" s="105">
        <v>2981</v>
      </c>
    </row>
    <row r="11" spans="1:30" s="107" customFormat="1" x14ac:dyDescent="0.25">
      <c r="A11" s="137"/>
      <c r="B11" s="104" t="str">
        <f>IF(L!$A$1=1,L!B132,IF(L!$A$1=2,L!C132,L!D132))</f>
        <v>2015 Qershor</v>
      </c>
      <c r="C11" s="105">
        <f t="shared" si="6"/>
        <v>1157780.5399999998</v>
      </c>
      <c r="D11" s="105">
        <f t="shared" si="0"/>
        <v>506446.67051000003</v>
      </c>
      <c r="E11" s="105">
        <f t="shared" si="1"/>
        <v>97711.650509999992</v>
      </c>
      <c r="F11" s="106">
        <v>24383.356379999994</v>
      </c>
      <c r="G11" s="106">
        <v>9917.7355200000002</v>
      </c>
      <c r="H11" s="106">
        <v>539.48724999999968</v>
      </c>
      <c r="I11" s="106">
        <f t="shared" si="2"/>
        <v>31167.565300000006</v>
      </c>
      <c r="J11" s="106">
        <v>24200.42841</v>
      </c>
      <c r="K11" s="106">
        <v>6967.1368900000052</v>
      </c>
      <c r="L11" s="106">
        <v>31703.506059999996</v>
      </c>
      <c r="M11" s="105">
        <f t="shared" si="3"/>
        <v>408735.02</v>
      </c>
      <c r="N11" s="105">
        <v>112387.62000000002</v>
      </c>
      <c r="O11" s="105">
        <v>64976.390000000007</v>
      </c>
      <c r="P11" s="105">
        <f>5353.03-V11-AB11</f>
        <v>1689.5600000000004</v>
      </c>
      <c r="Q11" s="105">
        <f>16870-W11-AC11</f>
        <v>6970</v>
      </c>
      <c r="R11" s="105">
        <v>222711.45</v>
      </c>
      <c r="S11" s="133">
        <f t="shared" si="4"/>
        <v>603021.25999999989</v>
      </c>
      <c r="T11" s="105">
        <v>557511.31999999995</v>
      </c>
      <c r="U11" s="105">
        <v>41722.870000000003</v>
      </c>
      <c r="V11" s="105">
        <v>1587.07</v>
      </c>
      <c r="W11" s="105">
        <v>2200</v>
      </c>
      <c r="X11" s="105"/>
      <c r="Y11" s="133">
        <f t="shared" si="5"/>
        <v>146024.25999999998</v>
      </c>
      <c r="Z11" s="105">
        <v>122818.4</v>
      </c>
      <c r="AA11" s="105">
        <v>13429.46</v>
      </c>
      <c r="AB11" s="105">
        <v>2076.3999999999996</v>
      </c>
      <c r="AC11" s="105">
        <v>7700</v>
      </c>
      <c r="AD11" s="105"/>
    </row>
    <row r="12" spans="1:30" s="107" customFormat="1" x14ac:dyDescent="0.25">
      <c r="A12" s="137"/>
      <c r="B12" s="104" t="str">
        <f>IF(L!$A$1=1,L!B133,IF(L!$A$1=2,L!C133,L!D133))</f>
        <v>2015 Korrik</v>
      </c>
      <c r="C12" s="105">
        <f t="shared" si="6"/>
        <v>1119222.3500000001</v>
      </c>
      <c r="D12" s="105">
        <f t="shared" si="0"/>
        <v>439179.12190000003</v>
      </c>
      <c r="E12" s="105">
        <f t="shared" si="1"/>
        <v>91717.071899999995</v>
      </c>
      <c r="F12" s="106">
        <v>23773.113380000003</v>
      </c>
      <c r="G12" s="106">
        <v>9231.32575</v>
      </c>
      <c r="H12" s="106">
        <v>544.56320000000005</v>
      </c>
      <c r="I12" s="106">
        <f t="shared" si="2"/>
        <v>32131.59863</v>
      </c>
      <c r="J12" s="106">
        <v>23966.10428</v>
      </c>
      <c r="K12" s="106">
        <v>8165.4943500000008</v>
      </c>
      <c r="L12" s="106">
        <v>26036.470939999999</v>
      </c>
      <c r="M12" s="105">
        <f t="shared" si="3"/>
        <v>347462.05000000005</v>
      </c>
      <c r="N12" s="105">
        <v>122617.69000000008</v>
      </c>
      <c r="O12" s="105">
        <v>34342.150000000009</v>
      </c>
      <c r="P12" s="105">
        <f>7832.23-V12-AB12</f>
        <v>5418.4</v>
      </c>
      <c r="Q12" s="105">
        <f>22175-W12-AC12</f>
        <v>3725</v>
      </c>
      <c r="R12" s="105">
        <f>212007.61-X12-AD12</f>
        <v>181358.81</v>
      </c>
      <c r="S12" s="133">
        <f t="shared" si="4"/>
        <v>607604.93999999994</v>
      </c>
      <c r="T12" s="105">
        <v>555118.82999999996</v>
      </c>
      <c r="U12" s="105">
        <v>35148.47</v>
      </c>
      <c r="V12" s="105">
        <v>1494.64</v>
      </c>
      <c r="W12" s="105">
        <v>6000</v>
      </c>
      <c r="X12" s="105">
        <v>9843</v>
      </c>
      <c r="Y12" s="133">
        <f>SUM(Z12:AD12)</f>
        <v>164155.35999999999</v>
      </c>
      <c r="Z12" s="105">
        <v>122819.39</v>
      </c>
      <c r="AA12" s="105">
        <v>7160.98</v>
      </c>
      <c r="AB12" s="105">
        <v>919.19</v>
      </c>
      <c r="AC12" s="105">
        <v>12450</v>
      </c>
      <c r="AD12" s="105">
        <v>20805.8</v>
      </c>
    </row>
    <row r="13" spans="1:30" s="107" customFormat="1" x14ac:dyDescent="0.25">
      <c r="A13" s="137"/>
      <c r="B13" s="104" t="str">
        <f>IF(L!$A$1=1,L!B134,IF(L!$A$1=2,L!C134,L!D134))</f>
        <v>2015 Gusht</v>
      </c>
      <c r="C13" s="105">
        <f t="shared" si="6"/>
        <v>1222545.01</v>
      </c>
      <c r="D13" s="105">
        <f t="shared" si="0"/>
        <v>419984.41639999999</v>
      </c>
      <c r="E13" s="105">
        <f t="shared" si="1"/>
        <v>86146.676399999997</v>
      </c>
      <c r="F13" s="106">
        <v>23362.254690000002</v>
      </c>
      <c r="G13" s="106">
        <v>10503.305199999999</v>
      </c>
      <c r="H13" s="106">
        <v>1028.7971600000001</v>
      </c>
      <c r="I13" s="106">
        <f t="shared" si="2"/>
        <v>30389.552379999997</v>
      </c>
      <c r="J13" s="106">
        <v>25798.046539999999</v>
      </c>
      <c r="K13" s="106">
        <v>4591.505839999998</v>
      </c>
      <c r="L13" s="106">
        <v>20862.766970000004</v>
      </c>
      <c r="M13" s="105">
        <f t="shared" si="3"/>
        <v>333837.74</v>
      </c>
      <c r="N13" s="105">
        <v>119519.49999999996</v>
      </c>
      <c r="O13" s="105">
        <v>28552.05999999999</v>
      </c>
      <c r="P13" s="105">
        <f>15055.72-V13-AB13</f>
        <v>9004.91</v>
      </c>
      <c r="Q13" s="105">
        <f>9365-W13-AC13</f>
        <v>4115</v>
      </c>
      <c r="R13" s="105">
        <f>312341.9-X13-AD13</f>
        <v>172646.27000000002</v>
      </c>
      <c r="S13" s="133">
        <f t="shared" si="4"/>
        <v>722068.34</v>
      </c>
      <c r="T13" s="105">
        <v>543777.89</v>
      </c>
      <c r="U13" s="105">
        <v>60079.73</v>
      </c>
      <c r="V13" s="105">
        <v>2144.23</v>
      </c>
      <c r="W13" s="105">
        <v>350</v>
      </c>
      <c r="X13" s="105">
        <v>115716.49</v>
      </c>
      <c r="Y13" s="133">
        <f>SUM(Z13:AD13)</f>
        <v>166638.93</v>
      </c>
      <c r="Z13" s="105">
        <v>122261.21</v>
      </c>
      <c r="AA13" s="105">
        <v>11592</v>
      </c>
      <c r="AB13" s="105">
        <v>3906.58</v>
      </c>
      <c r="AC13" s="105">
        <v>4900</v>
      </c>
      <c r="AD13" s="105">
        <v>23979.14</v>
      </c>
    </row>
    <row r="14" spans="1:30" s="107" customFormat="1" x14ac:dyDescent="0.25">
      <c r="A14" s="137"/>
      <c r="B14" s="104" t="str">
        <f>IF(L!$A$1=1,L!B135,IF(L!$A$1=2,L!C135,L!D135))</f>
        <v>2015 Shtator</v>
      </c>
      <c r="C14" s="105">
        <f t="shared" si="6"/>
        <v>1541749.49</v>
      </c>
      <c r="D14" s="105">
        <f t="shared" si="0"/>
        <v>805384.69256</v>
      </c>
      <c r="E14" s="105">
        <f t="shared" si="1"/>
        <v>85140.092560000005</v>
      </c>
      <c r="F14" s="106">
        <v>23281.82229</v>
      </c>
      <c r="G14" s="106">
        <v>10301.702159999999</v>
      </c>
      <c r="H14" s="106">
        <v>1032.0311099999999</v>
      </c>
      <c r="I14" s="106">
        <f t="shared" si="2"/>
        <v>30950.884389999999</v>
      </c>
      <c r="J14" s="106">
        <v>26076.743549999999</v>
      </c>
      <c r="K14" s="106">
        <v>4874.14084</v>
      </c>
      <c r="L14" s="106">
        <v>19573.652610000001</v>
      </c>
      <c r="M14" s="105">
        <f t="shared" si="3"/>
        <v>720244.6</v>
      </c>
      <c r="N14" s="105">
        <v>110762.91000000008</v>
      </c>
      <c r="O14" s="105">
        <v>38549.73000000001</v>
      </c>
      <c r="P14" s="105">
        <f>38839.69-V14-AB14</f>
        <v>26492.42</v>
      </c>
      <c r="Q14" s="105">
        <f>8735-W14-AC14</f>
        <v>8605</v>
      </c>
      <c r="R14" s="105">
        <f>605545.24-X14-AD14</f>
        <v>535834.53999999992</v>
      </c>
      <c r="S14" s="133">
        <f t="shared" si="4"/>
        <v>639814.12999999989</v>
      </c>
      <c r="T14" s="105">
        <v>542849.57999999996</v>
      </c>
      <c r="U14" s="105">
        <v>53185.09</v>
      </c>
      <c r="V14" s="105">
        <v>8812.44</v>
      </c>
      <c r="W14" s="105">
        <v>160</v>
      </c>
      <c r="X14" s="105">
        <v>34807.019999999997</v>
      </c>
      <c r="Y14" s="133">
        <f>SUM(Z14:AD14)</f>
        <v>181690.75999999998</v>
      </c>
      <c r="Z14" s="105">
        <v>122155.05</v>
      </c>
      <c r="AA14" s="105">
        <v>21127.200000000001</v>
      </c>
      <c r="AB14" s="105">
        <v>3534.83</v>
      </c>
      <c r="AC14" s="105">
        <v>-30</v>
      </c>
      <c r="AD14" s="105">
        <v>34903.68</v>
      </c>
    </row>
    <row r="15" spans="1:30" s="107" customFormat="1" x14ac:dyDescent="0.25">
      <c r="A15" s="137"/>
      <c r="B15" s="104" t="str">
        <f>IF(L!$A$1=1,L!B136,IF(L!$A$1=2,L!C136,L!D136))</f>
        <v>2015 Tetor</v>
      </c>
      <c r="C15" s="105">
        <f t="shared" si="6"/>
        <v>1562328.04</v>
      </c>
      <c r="D15" s="105">
        <f t="shared" si="0"/>
        <v>727957.33663999999</v>
      </c>
      <c r="E15" s="105">
        <f t="shared" si="1"/>
        <v>110744.39664000001</v>
      </c>
      <c r="F15" s="106">
        <v>23995.12126</v>
      </c>
      <c r="G15" s="106">
        <v>13060.851830000001</v>
      </c>
      <c r="H15" s="106">
        <v>730.91529000000003</v>
      </c>
      <c r="I15" s="106">
        <f t="shared" si="2"/>
        <v>36080.336440000006</v>
      </c>
      <c r="J15" s="106">
        <v>25216.76107</v>
      </c>
      <c r="K15" s="106">
        <v>10863.575370000006</v>
      </c>
      <c r="L15" s="106">
        <v>36877.171820000003</v>
      </c>
      <c r="M15" s="105">
        <f t="shared" si="3"/>
        <v>617212.93999999994</v>
      </c>
      <c r="N15" s="105">
        <v>114302.93000000002</v>
      </c>
      <c r="O15" s="105">
        <v>41738.280000000013</v>
      </c>
      <c r="P15" s="105">
        <f>7942.29-V15-AB15</f>
        <v>1918.69</v>
      </c>
      <c r="Q15" s="105">
        <f>7540-W15-AC15</f>
        <v>6400</v>
      </c>
      <c r="R15" s="105">
        <f>606148.46-X15</f>
        <v>452853.03999999992</v>
      </c>
      <c r="S15" s="133">
        <f t="shared" si="4"/>
        <v>797605.79</v>
      </c>
      <c r="T15" s="105">
        <v>545940.68999999994</v>
      </c>
      <c r="U15" s="105">
        <v>93791.76</v>
      </c>
      <c r="V15" s="105">
        <v>3637.92</v>
      </c>
      <c r="W15" s="105">
        <v>940</v>
      </c>
      <c r="X15" s="105">
        <v>153295.42000000001</v>
      </c>
      <c r="Y15" s="133">
        <f t="shared" si="5"/>
        <v>147509.31</v>
      </c>
      <c r="Z15" s="105">
        <v>124024.1</v>
      </c>
      <c r="AA15" s="105">
        <v>20899.53</v>
      </c>
      <c r="AB15" s="105">
        <v>2385.6799999999998</v>
      </c>
      <c r="AC15" s="105">
        <v>200</v>
      </c>
      <c r="AD15" s="105"/>
    </row>
    <row r="16" spans="1:30" s="107" customFormat="1" x14ac:dyDescent="0.25">
      <c r="A16" s="137"/>
      <c r="B16" s="104" t="str">
        <f>IF(L!$A$1=1,L!B137,IF(L!$A$1=2,L!C137,L!D137))</f>
        <v xml:space="preserve">2015 Nëntor </v>
      </c>
      <c r="C16" s="105">
        <f t="shared" si="6"/>
        <v>1491324.5399999998</v>
      </c>
      <c r="D16" s="105">
        <f t="shared" si="0"/>
        <v>717167.38695999992</v>
      </c>
      <c r="E16" s="105">
        <f t="shared" si="1"/>
        <v>107075.69696</v>
      </c>
      <c r="F16" s="106">
        <v>24552.538789999999</v>
      </c>
      <c r="G16" s="106">
        <v>13528.38221</v>
      </c>
      <c r="H16" s="106">
        <v>993.77592000000004</v>
      </c>
      <c r="I16" s="106">
        <f>SUM(J16:K16)</f>
        <v>37654.687310000001</v>
      </c>
      <c r="J16" s="106">
        <v>26626.940040000005</v>
      </c>
      <c r="K16" s="106">
        <v>11027.747269999996</v>
      </c>
      <c r="L16" s="106">
        <v>30346.312730000001</v>
      </c>
      <c r="M16" s="105">
        <f t="shared" si="3"/>
        <v>610091.68999999994</v>
      </c>
      <c r="N16" s="105">
        <v>114642.96999999997</v>
      </c>
      <c r="O16" s="105">
        <v>45068.009999999995</v>
      </c>
      <c r="P16" s="105">
        <f>18483.8-V16-AB16</f>
        <v>8950.74</v>
      </c>
      <c r="Q16" s="105">
        <f>4000-W16-AC16</f>
        <v>3510</v>
      </c>
      <c r="R16" s="105">
        <f>563844.8-X16-AD16</f>
        <v>437919.97000000003</v>
      </c>
      <c r="S16" s="133">
        <f t="shared" si="4"/>
        <v>735001.84</v>
      </c>
      <c r="T16" s="105">
        <v>549953.51</v>
      </c>
      <c r="U16" s="105">
        <v>59193.5</v>
      </c>
      <c r="V16" s="105">
        <v>6420</v>
      </c>
      <c r="W16" s="105">
        <v>490</v>
      </c>
      <c r="X16" s="105">
        <v>118944.83</v>
      </c>
      <c r="Y16" s="133">
        <f>SUM(Z16:AD16)</f>
        <v>146231.00999999998</v>
      </c>
      <c r="Z16" s="105">
        <v>122881.87</v>
      </c>
      <c r="AA16" s="105">
        <v>13256.08</v>
      </c>
      <c r="AB16" s="105">
        <v>3113.06</v>
      </c>
      <c r="AC16" s="105"/>
      <c r="AD16" s="105">
        <v>6980</v>
      </c>
    </row>
    <row r="17" spans="1:30" s="107" customFormat="1" x14ac:dyDescent="0.25">
      <c r="A17" s="137"/>
      <c r="B17" s="104" t="str">
        <f>IF(L!$A$1=1,L!B138,IF(L!$A$1=2,L!C138,L!D138))</f>
        <v>2015 Dhjetor</v>
      </c>
      <c r="C17" s="105">
        <f t="shared" si="6"/>
        <v>2094087.44</v>
      </c>
      <c r="D17" s="105">
        <f t="shared" si="0"/>
        <v>1256547.5508300001</v>
      </c>
      <c r="E17" s="105">
        <f t="shared" si="1"/>
        <v>173757.07083000004</v>
      </c>
      <c r="F17" s="106">
        <v>24829.704150000034</v>
      </c>
      <c r="G17" s="106">
        <f>26132.89663-716.5</f>
        <v>25416.396629999999</v>
      </c>
      <c r="H17" s="106">
        <v>2715.1892099999968</v>
      </c>
      <c r="I17" s="106">
        <f t="shared" si="2"/>
        <v>49057.545700000017</v>
      </c>
      <c r="J17" s="106">
        <v>31276.325220000002</v>
      </c>
      <c r="K17" s="106">
        <v>17781.220480000015</v>
      </c>
      <c r="L17" s="106">
        <v>71738.235140000004</v>
      </c>
      <c r="M17" s="105">
        <f t="shared" si="3"/>
        <v>1082790.48</v>
      </c>
      <c r="N17" s="105">
        <v>116005.40999999999</v>
      </c>
      <c r="O17" s="105">
        <v>141534.20000000001</v>
      </c>
      <c r="P17" s="105">
        <f>30298.28-V17-AB17</f>
        <v>7094.3999999999978</v>
      </c>
      <c r="Q17" s="105">
        <f>21571.8-W17-AC17</f>
        <v>5071.7999999999993</v>
      </c>
      <c r="R17" s="105">
        <f>996813.06-X17-AD17</f>
        <v>813084.67</v>
      </c>
      <c r="S17" s="133">
        <f t="shared" si="4"/>
        <v>738434</v>
      </c>
      <c r="T17" s="105">
        <v>553087.55000000005</v>
      </c>
      <c r="U17" s="105">
        <v>66486</v>
      </c>
      <c r="V17" s="105">
        <v>16962.95</v>
      </c>
      <c r="W17" s="112">
        <v>8000</v>
      </c>
      <c r="X17" s="105">
        <v>93897.5</v>
      </c>
      <c r="Y17" s="133">
        <f>SUM(Z17:AD17)</f>
        <v>272862.96000000002</v>
      </c>
      <c r="Z17" s="105">
        <v>119068.7</v>
      </c>
      <c r="AA17" s="105">
        <v>49222.44</v>
      </c>
      <c r="AB17" s="105">
        <v>6240.93</v>
      </c>
      <c r="AC17" s="105">
        <v>8500</v>
      </c>
      <c r="AD17" s="105">
        <v>89830.89</v>
      </c>
    </row>
    <row r="18" spans="1:30" s="108" customFormat="1" x14ac:dyDescent="0.25">
      <c r="A18" s="137"/>
      <c r="B18" s="109" t="str">
        <f>IF(L!$A$1=1,L!B139,IF(L!$A$1=2,L!C139,L!D139))</f>
        <v>Gjithsej 2015</v>
      </c>
      <c r="C18" s="103">
        <f t="shared" si="6"/>
        <v>14941590.609999999</v>
      </c>
      <c r="D18" s="103">
        <f>E18+M18</f>
        <v>6420607.8687700015</v>
      </c>
      <c r="E18" s="103">
        <f>F18+G18+H18+I18+L18</f>
        <v>1139576.4087700001</v>
      </c>
      <c r="F18" s="110">
        <v>282798.46558000002</v>
      </c>
      <c r="G18" s="110">
        <v>143774.78271</v>
      </c>
      <c r="H18" s="110">
        <v>14654.806929999999</v>
      </c>
      <c r="I18" s="110">
        <f t="shared" ref="I18" si="7">SUM(J18:K18)</f>
        <v>408721.89980000007</v>
      </c>
      <c r="J18" s="110">
        <v>305718.65302000003</v>
      </c>
      <c r="K18" s="110">
        <v>103003.24678000003</v>
      </c>
      <c r="L18" s="110">
        <v>289626.45374999999</v>
      </c>
      <c r="M18" s="103">
        <f t="shared" ref="M18" si="8">SUM(N18:R18)</f>
        <v>5281031.4600000009</v>
      </c>
      <c r="N18" s="103">
        <f>SUM(N6:N17)</f>
        <v>1453927.46</v>
      </c>
      <c r="O18" s="103">
        <f>SUM(O6:O17)</f>
        <v>588552.29</v>
      </c>
      <c r="P18" s="103">
        <f>SUM(P6:P17)</f>
        <v>119959.93</v>
      </c>
      <c r="Q18" s="103">
        <f>SUM(Q7:Q17)</f>
        <v>81645.75</v>
      </c>
      <c r="R18" s="103">
        <f>SUM(R7:R17)</f>
        <v>3036946.0300000003</v>
      </c>
      <c r="S18" s="103">
        <f>SUM(S6:S17)</f>
        <v>7735219.8599999994</v>
      </c>
      <c r="T18" s="103">
        <f>SUM(T6:T17)</f>
        <v>6498495.8899999997</v>
      </c>
      <c r="U18" s="103">
        <f>SUM(U7:U17)</f>
        <v>596762.75</v>
      </c>
      <c r="V18" s="103">
        <f>SUM(V6:V17)</f>
        <v>79893.960000000006</v>
      </c>
      <c r="W18" s="103">
        <f>SUM(V6:V17)</f>
        <v>79893.960000000006</v>
      </c>
      <c r="X18" s="103">
        <f t="shared" ref="X18" si="9">SUM(X7:X17)</f>
        <v>526504.26</v>
      </c>
      <c r="Y18" s="103">
        <f t="shared" ref="Y18:AD18" si="10">SUM(Y6:Y17)</f>
        <v>1925339.29</v>
      </c>
      <c r="Z18" s="103">
        <f t="shared" si="10"/>
        <v>1423674.41</v>
      </c>
      <c r="AA18" s="103">
        <f t="shared" si="10"/>
        <v>188759.22999999998</v>
      </c>
      <c r="AB18" s="103">
        <f t="shared" si="10"/>
        <v>37555.14</v>
      </c>
      <c r="AC18" s="103">
        <f t="shared" si="10"/>
        <v>95870</v>
      </c>
      <c r="AD18" s="103">
        <f t="shared" si="10"/>
        <v>179480.51</v>
      </c>
    </row>
    <row r="19" spans="1:30" s="107" customFormat="1" x14ac:dyDescent="0.25">
      <c r="A19" s="137">
        <v>2016</v>
      </c>
      <c r="B19" s="104" t="str">
        <f>IF(L!$A$1=1,L!B140,IF(L!$A$1=2,L!C140,L!D140))</f>
        <v>2016 Janar</v>
      </c>
      <c r="C19" s="105">
        <f t="shared" si="6"/>
        <v>787321.39</v>
      </c>
      <c r="D19" s="105">
        <f>E19+M19</f>
        <v>170705.02059999996</v>
      </c>
      <c r="E19" s="105">
        <f>F19+G19+H19+I19+L19</f>
        <v>55210.410600000003</v>
      </c>
      <c r="F19" s="106">
        <v>24766.788860000001</v>
      </c>
      <c r="G19" s="106">
        <v>1424.3270399999999</v>
      </c>
      <c r="H19" s="106">
        <v>416.80649</v>
      </c>
      <c r="I19" s="106">
        <f>SUM(J19:K19)</f>
        <v>28602.48821</v>
      </c>
      <c r="J19" s="106">
        <v>25072.225900000001</v>
      </c>
      <c r="K19" s="106">
        <v>3530.2623099999996</v>
      </c>
      <c r="L19" s="106">
        <v>0</v>
      </c>
      <c r="M19" s="105">
        <f>SUM(N19:R19)</f>
        <v>115494.60999999996</v>
      </c>
      <c r="N19" s="105">
        <v>115494.60999999996</v>
      </c>
      <c r="O19" s="105"/>
      <c r="P19" s="105"/>
      <c r="Q19" s="105"/>
      <c r="R19" s="105"/>
      <c r="S19" s="133">
        <f>SUM(T19:X19)</f>
        <v>546742.06000000006</v>
      </c>
      <c r="T19" s="105">
        <v>546742.06000000006</v>
      </c>
      <c r="U19" s="105"/>
      <c r="V19" s="105"/>
      <c r="W19" s="105"/>
      <c r="X19" s="105"/>
      <c r="Y19" s="133">
        <f>SUM(Z19:AD19)</f>
        <v>125084.72</v>
      </c>
      <c r="Z19" s="105">
        <v>125084.72</v>
      </c>
      <c r="AA19" s="105"/>
      <c r="AB19" s="105"/>
      <c r="AC19" s="105"/>
      <c r="AD19" s="105"/>
    </row>
    <row r="20" spans="1:30" s="107" customFormat="1" x14ac:dyDescent="0.25">
      <c r="A20" s="137"/>
      <c r="B20" s="104" t="str">
        <f>IF(L!$A$1=1,L!B141,IF(L!$A$1=2,L!C141,L!D141))</f>
        <v>2016 Shkurt</v>
      </c>
      <c r="C20" s="105">
        <f t="shared" si="6"/>
        <v>1219008.79</v>
      </c>
      <c r="D20" s="105">
        <f t="shared" ref="D20:D30" si="11">E20+M20</f>
        <v>532843.16050999996</v>
      </c>
      <c r="E20" s="105">
        <f t="shared" ref="E20:E30" si="12">F20+G20+H20+I20+L20</f>
        <v>87815.220510000014</v>
      </c>
      <c r="F20" s="106">
        <v>24752.71211</v>
      </c>
      <c r="G20" s="106">
        <v>11959.14465</v>
      </c>
      <c r="H20" s="106">
        <v>2314.2731399999998</v>
      </c>
      <c r="I20" s="106">
        <f>SUM(J20:K20)</f>
        <v>35964.93116</v>
      </c>
      <c r="J20" s="106">
        <v>28793.647400000002</v>
      </c>
      <c r="K20" s="106">
        <v>7171.2837600000003</v>
      </c>
      <c r="L20" s="106">
        <v>12824.159449999999</v>
      </c>
      <c r="M20" s="105">
        <f t="shared" ref="M20:M32" si="13">SUM(N20:R20)</f>
        <v>445027.93999999994</v>
      </c>
      <c r="N20" s="105">
        <v>115486.28999999992</v>
      </c>
      <c r="O20" s="105">
        <v>60871.650000000009</v>
      </c>
      <c r="P20" s="105">
        <v>23851.4</v>
      </c>
      <c r="Q20" s="105">
        <v>2200</v>
      </c>
      <c r="R20" s="105">
        <v>242618.6</v>
      </c>
      <c r="S20" s="133">
        <f t="shared" ref="S20" si="14">SUM(T20:X20)</f>
        <v>625698.07000000007</v>
      </c>
      <c r="T20" s="105">
        <v>543279.54</v>
      </c>
      <c r="U20" s="105">
        <v>65040.75</v>
      </c>
      <c r="V20" s="105">
        <v>15677.78</v>
      </c>
      <c r="W20" s="105">
        <v>1700</v>
      </c>
      <c r="X20" s="105"/>
      <c r="Y20" s="133">
        <f t="shared" ref="Y20" si="15">SUM(Z20:AD20)</f>
        <v>148282.78000000003</v>
      </c>
      <c r="Z20" s="105">
        <v>126570.25</v>
      </c>
      <c r="AA20" s="105">
        <v>12961.14</v>
      </c>
      <c r="AB20" s="105">
        <v>7751.39</v>
      </c>
      <c r="AC20" s="105">
        <v>1000</v>
      </c>
      <c r="AD20" s="105"/>
    </row>
    <row r="21" spans="1:30" s="107" customFormat="1" x14ac:dyDescent="0.25">
      <c r="A21" s="137"/>
      <c r="B21" s="104" t="str">
        <f>IF(L!$A$1=1,L!B142,IF(L!$A$1=2,L!C142,L!D142))</f>
        <v xml:space="preserve">2016 Mars </v>
      </c>
      <c r="C21" s="105">
        <f t="shared" si="6"/>
        <v>1104316.6800000002</v>
      </c>
      <c r="D21" s="105">
        <f t="shared" si="11"/>
        <v>388533.18367000006</v>
      </c>
      <c r="E21" s="105">
        <f t="shared" si="12"/>
        <v>99708.793669999985</v>
      </c>
      <c r="F21" s="106">
        <v>24720.240729999998</v>
      </c>
      <c r="G21" s="106">
        <v>13678.730440000001</v>
      </c>
      <c r="H21" s="106">
        <v>1399.7494399999996</v>
      </c>
      <c r="I21" s="106">
        <f t="shared" ref="I21:I28" si="16">SUM(J21:K21)</f>
        <v>33404.263039999998</v>
      </c>
      <c r="J21" s="106">
        <v>29680.465499999995</v>
      </c>
      <c r="K21" s="106">
        <v>3723.79754</v>
      </c>
      <c r="L21" s="106">
        <v>26505.810019999997</v>
      </c>
      <c r="M21" s="105">
        <f>SUM(N21:R21)</f>
        <v>288824.39000000007</v>
      </c>
      <c r="N21" s="105">
        <v>116084.80000000006</v>
      </c>
      <c r="O21" s="105">
        <v>106606.37</v>
      </c>
      <c r="P21" s="105">
        <v>11006.16</v>
      </c>
      <c r="Q21" s="105">
        <v>18650</v>
      </c>
      <c r="R21" s="105">
        <v>36477.060000000005</v>
      </c>
      <c r="S21" s="133">
        <f>SUM(T21:X21)</f>
        <v>649809.72</v>
      </c>
      <c r="T21" s="105">
        <v>545640.72</v>
      </c>
      <c r="U21" s="105">
        <v>49523.360000000001</v>
      </c>
      <c r="V21" s="105">
        <v>2746.76</v>
      </c>
      <c r="W21" s="105">
        <v>3900</v>
      </c>
      <c r="X21" s="105">
        <v>47998.879999999997</v>
      </c>
      <c r="Y21" s="133">
        <f>SUM(Z21:AD21)</f>
        <v>165682.57</v>
      </c>
      <c r="Z21" s="105">
        <v>130077.51</v>
      </c>
      <c r="AA21" s="105">
        <v>23006.18</v>
      </c>
      <c r="AB21" s="105">
        <v>1098.8800000000001</v>
      </c>
      <c r="AC21" s="105">
        <v>11500</v>
      </c>
      <c r="AD21" s="105"/>
    </row>
    <row r="22" spans="1:30" s="107" customFormat="1" x14ac:dyDescent="0.25">
      <c r="A22" s="137"/>
      <c r="B22" s="104" t="str">
        <f>IF(L!$A$1=1,L!B143,IF(L!$A$1=2,L!C143,L!D143))</f>
        <v>2016 Prill</v>
      </c>
      <c r="C22" s="133">
        <f t="shared" si="6"/>
        <v>1137460.9099999999</v>
      </c>
      <c r="D22" s="105">
        <f t="shared" si="11"/>
        <v>355988.76280999999</v>
      </c>
      <c r="E22" s="105">
        <f t="shared" si="12"/>
        <v>80556.102809999982</v>
      </c>
      <c r="F22" s="106">
        <v>24601.525609999997</v>
      </c>
      <c r="G22" s="106">
        <v>10184.289710000001</v>
      </c>
      <c r="H22" s="106">
        <v>1778.5594200000005</v>
      </c>
      <c r="I22" s="106">
        <f t="shared" si="16"/>
        <v>30114.173880000002</v>
      </c>
      <c r="J22" s="106">
        <v>23332.296700000003</v>
      </c>
      <c r="K22" s="106">
        <v>6781.8771800000004</v>
      </c>
      <c r="L22" s="106">
        <v>13877.554190000003</v>
      </c>
      <c r="M22" s="105">
        <f t="shared" si="13"/>
        <v>275432.66000000003</v>
      </c>
      <c r="N22" s="105">
        <v>115348.40000000005</v>
      </c>
      <c r="O22" s="105">
        <v>33720.33</v>
      </c>
      <c r="P22" s="105">
        <v>13778.32</v>
      </c>
      <c r="Q22" s="105">
        <v>21660</v>
      </c>
      <c r="R22" s="105">
        <v>90925.609999999986</v>
      </c>
      <c r="S22" s="133">
        <f t="shared" ref="S22:S30" si="17">SUM(T22:X22)</f>
        <v>680365.04999999993</v>
      </c>
      <c r="T22" s="105">
        <v>550721.71</v>
      </c>
      <c r="U22" s="105">
        <v>47110.71</v>
      </c>
      <c r="V22" s="105">
        <v>9839.89</v>
      </c>
      <c r="W22" s="105">
        <v>4130</v>
      </c>
      <c r="X22" s="105">
        <v>68562.740000000005</v>
      </c>
      <c r="Y22" s="133">
        <f t="shared" ref="Y22:Y30" si="18">SUM(Z22:AD22)</f>
        <v>181663.2</v>
      </c>
      <c r="Z22" s="105">
        <v>125348.78</v>
      </c>
      <c r="AA22" s="105">
        <v>15580.77</v>
      </c>
      <c r="AB22" s="105">
        <v>5591.54</v>
      </c>
      <c r="AC22" s="105">
        <v>21550</v>
      </c>
      <c r="AD22" s="105">
        <v>13592.11</v>
      </c>
    </row>
    <row r="23" spans="1:30" s="107" customFormat="1" x14ac:dyDescent="0.25">
      <c r="A23" s="137"/>
      <c r="B23" s="104" t="str">
        <f>IF(L!$A$1=1,L!B144,IF(L!$A$1=2,L!C144,L!D144))</f>
        <v>2016 Maj</v>
      </c>
      <c r="C23" s="133">
        <f t="shared" si="6"/>
        <v>1573142.92</v>
      </c>
      <c r="D23" s="105">
        <f t="shared" si="11"/>
        <v>821553.5316300001</v>
      </c>
      <c r="E23" s="105">
        <f>F23+G23+H23+I23+L23</f>
        <v>96210.491630000004</v>
      </c>
      <c r="F23" s="106">
        <v>24878.166989999998</v>
      </c>
      <c r="G23" s="106">
        <v>11446.305889999996</v>
      </c>
      <c r="H23" s="106">
        <v>1328.3961899999995</v>
      </c>
      <c r="I23" s="106">
        <f t="shared" si="16"/>
        <v>46053.717250000002</v>
      </c>
      <c r="J23" s="106">
        <v>32046.268810000001</v>
      </c>
      <c r="K23" s="106">
        <v>14007.448439999998</v>
      </c>
      <c r="L23" s="106">
        <v>12503.905309999995</v>
      </c>
      <c r="M23" s="105">
        <f t="shared" si="13"/>
        <v>725343.04</v>
      </c>
      <c r="N23" s="105">
        <v>116300.17</v>
      </c>
      <c r="O23" s="105">
        <v>54595.37000000001</v>
      </c>
      <c r="P23" s="105">
        <v>8235.0300000000025</v>
      </c>
      <c r="Q23" s="105">
        <v>7360</v>
      </c>
      <c r="R23" s="105">
        <v>538852.47</v>
      </c>
      <c r="S23" s="133">
        <f t="shared" si="17"/>
        <v>699764.90999999992</v>
      </c>
      <c r="T23" s="105">
        <v>549442.72</v>
      </c>
      <c r="U23" s="105">
        <v>49180.46</v>
      </c>
      <c r="V23" s="105">
        <v>4715.05</v>
      </c>
      <c r="W23" s="105">
        <v>15030</v>
      </c>
      <c r="X23" s="105">
        <v>81396.679999999993</v>
      </c>
      <c r="Y23" s="133">
        <f t="shared" si="18"/>
        <v>148034.97</v>
      </c>
      <c r="Z23" s="105">
        <v>125107.83</v>
      </c>
      <c r="AA23" s="105">
        <v>15041.02</v>
      </c>
      <c r="AB23" s="105">
        <v>2736.12</v>
      </c>
      <c r="AC23" s="105">
        <v>5150</v>
      </c>
      <c r="AD23" s="105"/>
    </row>
    <row r="24" spans="1:30" s="107" customFormat="1" x14ac:dyDescent="0.25">
      <c r="A24" s="137"/>
      <c r="B24" s="104" t="str">
        <f>IF(L!$A$1=1,L!B145,IF(L!$A$1=2,L!C145,L!D145))</f>
        <v>2016 Qershor</v>
      </c>
      <c r="C24" s="133">
        <f t="shared" si="6"/>
        <v>1258418.4899999998</v>
      </c>
      <c r="D24" s="105">
        <f t="shared" si="11"/>
        <v>516857.89695999993</v>
      </c>
      <c r="E24" s="105">
        <f t="shared" si="12"/>
        <v>106621.02696000002</v>
      </c>
      <c r="F24" s="106">
        <v>25271.218699999998</v>
      </c>
      <c r="G24" s="106">
        <v>10225.551030000002</v>
      </c>
      <c r="H24" s="106">
        <v>690.89161000000058</v>
      </c>
      <c r="I24" s="106">
        <f t="shared" si="16"/>
        <v>33681.467220000006</v>
      </c>
      <c r="J24" s="106">
        <v>30125.299699999992</v>
      </c>
      <c r="K24" s="106">
        <v>3556.16752000001</v>
      </c>
      <c r="L24" s="106">
        <v>36751.898400000005</v>
      </c>
      <c r="M24" s="105">
        <f t="shared" si="13"/>
        <v>410236.86999999988</v>
      </c>
      <c r="N24" s="105">
        <v>116162.89999999994</v>
      </c>
      <c r="O24" s="105">
        <v>37534.700000000004</v>
      </c>
      <c r="P24" s="105">
        <v>5171.68</v>
      </c>
      <c r="Q24" s="105">
        <v>3685</v>
      </c>
      <c r="R24" s="105">
        <v>247682.58999999997</v>
      </c>
      <c r="S24" s="133">
        <f t="shared" si="17"/>
        <v>679159.48</v>
      </c>
      <c r="T24" s="105">
        <v>548187.81000000006</v>
      </c>
      <c r="U24" s="105">
        <v>43540.22</v>
      </c>
      <c r="V24" s="105">
        <v>4188.49</v>
      </c>
      <c r="W24" s="105">
        <v>100</v>
      </c>
      <c r="X24" s="105">
        <v>83142.960000000006</v>
      </c>
      <c r="Y24" s="133">
        <f t="shared" si="18"/>
        <v>169022.14</v>
      </c>
      <c r="Z24" s="105">
        <v>127299.16</v>
      </c>
      <c r="AA24" s="105">
        <v>14525.32</v>
      </c>
      <c r="AB24" s="105">
        <v>2346.17</v>
      </c>
      <c r="AC24" s="105">
        <v>4500</v>
      </c>
      <c r="AD24" s="105">
        <v>20351.490000000002</v>
      </c>
    </row>
    <row r="25" spans="1:30" s="107" customFormat="1" x14ac:dyDescent="0.25">
      <c r="A25" s="137"/>
      <c r="B25" s="104" t="str">
        <f>IF(L!$A$1=1,L!B146,IF(L!$A$1=2,L!C146,L!D146))</f>
        <v>2016 Korrik</v>
      </c>
      <c r="C25" s="133">
        <f t="shared" si="6"/>
        <v>1336480.71</v>
      </c>
      <c r="D25" s="105">
        <f t="shared" si="11"/>
        <v>529887.34849999996</v>
      </c>
      <c r="E25" s="105">
        <f t="shared" si="12"/>
        <v>77503.858500000002</v>
      </c>
      <c r="F25" s="106">
        <v>25432.487959999999</v>
      </c>
      <c r="G25" s="106">
        <v>9133.7539199999992</v>
      </c>
      <c r="H25" s="106">
        <v>837.02014999999903</v>
      </c>
      <c r="I25" s="106">
        <f>SUM(J25:K25)</f>
        <v>33199.534520000001</v>
      </c>
      <c r="J25" s="106">
        <v>30380.615050000004</v>
      </c>
      <c r="K25" s="106">
        <v>2818.9194700000003</v>
      </c>
      <c r="L25" s="106">
        <v>8901.061950000003</v>
      </c>
      <c r="M25" s="105">
        <f t="shared" si="13"/>
        <v>452383.49</v>
      </c>
      <c r="N25" s="105">
        <v>115440.58000000002</v>
      </c>
      <c r="O25" s="105">
        <v>46875.28</v>
      </c>
      <c r="P25" s="105">
        <v>271.42999999999984</v>
      </c>
      <c r="Q25" s="105">
        <v>10744.88</v>
      </c>
      <c r="R25" s="105">
        <v>279051.31999999995</v>
      </c>
      <c r="S25" s="133">
        <f t="shared" si="17"/>
        <v>725927.3899999999</v>
      </c>
      <c r="T25" s="105">
        <v>543598.99</v>
      </c>
      <c r="U25" s="105">
        <v>110271.83</v>
      </c>
      <c r="V25" s="105">
        <v>2382.23</v>
      </c>
      <c r="W25" s="105">
        <v>980</v>
      </c>
      <c r="X25" s="105">
        <v>68694.34</v>
      </c>
      <c r="Y25" s="133">
        <f t="shared" si="18"/>
        <v>158169.83000000002</v>
      </c>
      <c r="Z25" s="105">
        <v>125737.69</v>
      </c>
      <c r="AA25" s="105">
        <v>18567.39</v>
      </c>
      <c r="AB25" s="105">
        <v>2610.75</v>
      </c>
      <c r="AC25" s="105">
        <v>1350</v>
      </c>
      <c r="AD25" s="105">
        <v>9904</v>
      </c>
    </row>
    <row r="26" spans="1:30" s="107" customFormat="1" x14ac:dyDescent="0.25">
      <c r="A26" s="137"/>
      <c r="B26" s="104" t="str">
        <f>IF(L!$A$1=1,L!B147,IF(L!$A$1=2,L!C147,L!D147))</f>
        <v>2016 Gusht</v>
      </c>
      <c r="C26" s="133">
        <f t="shared" si="6"/>
        <v>1135277.94</v>
      </c>
      <c r="D26" s="105">
        <f t="shared" si="11"/>
        <v>475201.19613</v>
      </c>
      <c r="E26" s="105">
        <f t="shared" si="12"/>
        <v>107136.83613</v>
      </c>
      <c r="F26" s="106">
        <v>23566.790400000002</v>
      </c>
      <c r="G26" s="106">
        <v>11400.07127</v>
      </c>
      <c r="H26" s="106">
        <v>835.55675999999949</v>
      </c>
      <c r="I26" s="106">
        <f>SUM(J26:K26)</f>
        <v>41658.747380000001</v>
      </c>
      <c r="J26" s="106">
        <v>31113.987209999999</v>
      </c>
      <c r="K26" s="106">
        <v>10544.760170000005</v>
      </c>
      <c r="L26" s="106">
        <v>29675.67031999999</v>
      </c>
      <c r="M26" s="105">
        <f t="shared" si="13"/>
        <v>368064.36</v>
      </c>
      <c r="N26" s="105">
        <v>173481.8</v>
      </c>
      <c r="O26" s="105">
        <v>67930.94</v>
      </c>
      <c r="P26" s="105">
        <v>13280.74</v>
      </c>
      <c r="Q26" s="105">
        <v>6270</v>
      </c>
      <c r="R26" s="105">
        <v>107100.88</v>
      </c>
      <c r="S26" s="133">
        <f t="shared" si="17"/>
        <v>604477.6</v>
      </c>
      <c r="T26" s="105">
        <v>541772.63</v>
      </c>
      <c r="U26" s="105">
        <v>32486.16</v>
      </c>
      <c r="V26" s="105">
        <v>9897.82</v>
      </c>
      <c r="W26" s="105">
        <v>350</v>
      </c>
      <c r="X26" s="105">
        <v>19970.990000000002</v>
      </c>
      <c r="Y26" s="133">
        <f t="shared" si="18"/>
        <v>162735.98000000001</v>
      </c>
      <c r="Z26" s="105">
        <v>125637.44</v>
      </c>
      <c r="AA26" s="105">
        <v>9512.6200000000008</v>
      </c>
      <c r="AB26" s="105">
        <v>180.63</v>
      </c>
      <c r="AC26" s="105">
        <v>17050</v>
      </c>
      <c r="AD26" s="105">
        <v>10355.290000000001</v>
      </c>
    </row>
    <row r="27" spans="1:30" s="107" customFormat="1" x14ac:dyDescent="0.25">
      <c r="A27" s="137"/>
      <c r="B27" s="104" t="str">
        <f>IF(L!$A$1=1,L!B148,IF(L!$A$1=2,L!C148,L!D148))</f>
        <v>2016 Shtator</v>
      </c>
      <c r="C27" s="133">
        <f t="shared" si="6"/>
        <v>1118817.8399999999</v>
      </c>
      <c r="D27" s="105">
        <f t="shared" si="11"/>
        <v>390169.11169000005</v>
      </c>
      <c r="E27" s="105">
        <f t="shared" si="12"/>
        <v>102608.17169000002</v>
      </c>
      <c r="F27" s="112">
        <v>24413.5016</v>
      </c>
      <c r="G27" s="106">
        <v>9143.6204099999995</v>
      </c>
      <c r="H27" s="106">
        <v>716.30253000000005</v>
      </c>
      <c r="I27" s="106">
        <f t="shared" si="16"/>
        <v>31982.503360000002</v>
      </c>
      <c r="J27" s="106">
        <v>26178.25172</v>
      </c>
      <c r="K27" s="106">
        <v>5804.2516400000004</v>
      </c>
      <c r="L27" s="106">
        <v>36352.24379</v>
      </c>
      <c r="M27" s="105">
        <f t="shared" si="13"/>
        <v>287560.94</v>
      </c>
      <c r="N27" s="105">
        <v>114647.78</v>
      </c>
      <c r="O27" s="105">
        <v>28873.909999999989</v>
      </c>
      <c r="P27" s="105">
        <v>3588.63</v>
      </c>
      <c r="Q27" s="105">
        <v>1540</v>
      </c>
      <c r="R27" s="105">
        <v>138910.62</v>
      </c>
      <c r="S27" s="133">
        <f t="shared" si="17"/>
        <v>670901.98</v>
      </c>
      <c r="T27" s="105">
        <v>542258.36</v>
      </c>
      <c r="U27" s="105">
        <v>57033.75</v>
      </c>
      <c r="V27" s="105">
        <v>2258.39</v>
      </c>
      <c r="W27" s="105"/>
      <c r="X27" s="105">
        <v>69351.48</v>
      </c>
      <c r="Y27" s="133">
        <f t="shared" si="18"/>
        <v>160354.91999999998</v>
      </c>
      <c r="Z27" s="105">
        <v>124744.97</v>
      </c>
      <c r="AA27" s="105">
        <v>26047.33</v>
      </c>
      <c r="AB27" s="105">
        <v>4062.62</v>
      </c>
      <c r="AC27" s="105">
        <v>5500</v>
      </c>
      <c r="AD27" s="105"/>
    </row>
    <row r="28" spans="1:30" s="107" customFormat="1" x14ac:dyDescent="0.25">
      <c r="A28" s="138"/>
      <c r="B28" s="104" t="str">
        <f>IF(L!$A$1=1,L!B149,IF(L!$A$1=2,L!C149,L!D149))</f>
        <v>2016 Tetor</v>
      </c>
      <c r="C28" s="133">
        <f t="shared" si="6"/>
        <v>1091941.1400000001</v>
      </c>
      <c r="D28" s="105">
        <f t="shared" si="11"/>
        <v>448647.04061000008</v>
      </c>
      <c r="E28" s="105">
        <f t="shared" si="12"/>
        <v>129142.13060999999</v>
      </c>
      <c r="F28" s="126">
        <v>24685.05791</v>
      </c>
      <c r="G28" s="127">
        <v>11524.12997</v>
      </c>
      <c r="H28" s="126">
        <v>814.78802999999903</v>
      </c>
      <c r="I28" s="106">
        <f t="shared" si="16"/>
        <v>47301.574959999998</v>
      </c>
      <c r="J28" s="126">
        <v>32216.383320000001</v>
      </c>
      <c r="K28" s="126">
        <v>15085.191639999999</v>
      </c>
      <c r="L28" s="126">
        <v>44816.579740000001</v>
      </c>
      <c r="M28" s="105">
        <f t="shared" si="13"/>
        <v>319504.91000000009</v>
      </c>
      <c r="N28" s="128">
        <v>115874.43000000008</v>
      </c>
      <c r="O28" s="128">
        <v>40826.100000000006</v>
      </c>
      <c r="P28" s="128">
        <v>1281.0099999999991</v>
      </c>
      <c r="Q28" s="128">
        <v>1600</v>
      </c>
      <c r="R28" s="128">
        <v>159923.37</v>
      </c>
      <c r="S28" s="133">
        <f t="shared" si="17"/>
        <v>624868.43999999994</v>
      </c>
      <c r="T28" s="128">
        <v>542087.09</v>
      </c>
      <c r="U28" s="128">
        <v>45247.03</v>
      </c>
      <c r="V28" s="128">
        <v>8058.46</v>
      </c>
      <c r="W28" s="105">
        <v>200</v>
      </c>
      <c r="X28" s="128">
        <v>29275.86</v>
      </c>
      <c r="Y28" s="133">
        <f t="shared" si="18"/>
        <v>147567.78999999998</v>
      </c>
      <c r="Z28" s="128">
        <v>125303.66</v>
      </c>
      <c r="AA28" s="128">
        <v>16440.64</v>
      </c>
      <c r="AB28" s="128">
        <v>2023.49</v>
      </c>
      <c r="AC28" s="128">
        <v>3800</v>
      </c>
      <c r="AD28" s="128"/>
    </row>
    <row r="29" spans="1:30" s="107" customFormat="1" x14ac:dyDescent="0.25">
      <c r="A29" s="138"/>
      <c r="B29" s="104" t="str">
        <f>IF(L!$A$1=1,L!B150,IF(L!$A$1=2,L!C150,L!D150))</f>
        <v xml:space="preserve">2016 Nëntor </v>
      </c>
      <c r="C29" s="133">
        <f t="shared" si="6"/>
        <v>1277819.6399999999</v>
      </c>
      <c r="D29" s="105">
        <f t="shared" si="11"/>
        <v>617059.08975000004</v>
      </c>
      <c r="E29" s="105">
        <f t="shared" si="12"/>
        <v>123382.86975000001</v>
      </c>
      <c r="F29" s="126">
        <v>24827.598859999998</v>
      </c>
      <c r="G29" s="127">
        <f>13301.19593</f>
        <v>13301.19593</v>
      </c>
      <c r="H29" s="126">
        <v>1056.7588800000001</v>
      </c>
      <c r="I29" s="106">
        <f t="shared" ref="I29:I35" si="19">SUM(J29:K29)</f>
        <v>42062.473770000004</v>
      </c>
      <c r="J29" s="126">
        <v>32919.262710000003</v>
      </c>
      <c r="K29" s="126">
        <v>9143.2110599999996</v>
      </c>
      <c r="L29" s="126">
        <v>42134.84231</v>
      </c>
      <c r="M29" s="105">
        <f t="shared" si="13"/>
        <v>493676.22</v>
      </c>
      <c r="N29" s="128">
        <v>119170.33000000002</v>
      </c>
      <c r="O29" s="128">
        <v>61333.919999999998</v>
      </c>
      <c r="P29" s="128">
        <v>10168.029999999999</v>
      </c>
      <c r="Q29" s="128">
        <v>4870</v>
      </c>
      <c r="R29" s="128">
        <v>298133.94</v>
      </c>
      <c r="S29" s="133">
        <f t="shared" si="17"/>
        <v>626183.42999999993</v>
      </c>
      <c r="T29" s="128">
        <v>549402.63</v>
      </c>
      <c r="U29" s="128">
        <v>48205.33</v>
      </c>
      <c r="V29" s="128">
        <v>8094.99</v>
      </c>
      <c r="W29" s="128"/>
      <c r="X29" s="128">
        <v>20480.48</v>
      </c>
      <c r="Y29" s="133">
        <f t="shared" si="18"/>
        <v>157959.99</v>
      </c>
      <c r="Z29" s="128">
        <v>126015.67999999999</v>
      </c>
      <c r="AA29" s="128">
        <v>28700.16</v>
      </c>
      <c r="AB29" s="128">
        <v>3244.15</v>
      </c>
      <c r="AC29" s="128"/>
      <c r="AD29" s="128"/>
    </row>
    <row r="30" spans="1:30" s="107" customFormat="1" x14ac:dyDescent="0.25">
      <c r="A30" s="138"/>
      <c r="B30" s="104" t="str">
        <f>IF(L!$A$1=1,L!B151,IF(L!$A$1=2,L!C151,L!D151))</f>
        <v>2016 Dhjetor</v>
      </c>
      <c r="C30" s="133">
        <f t="shared" si="6"/>
        <v>1872753.24</v>
      </c>
      <c r="D30" s="105">
        <f t="shared" si="11"/>
        <v>1156836.7229649997</v>
      </c>
      <c r="E30" s="105">
        <f t="shared" si="12"/>
        <v>192106.75296499973</v>
      </c>
      <c r="F30" s="126">
        <f>25175.0214299999-0.08701</f>
        <v>25174.9344199999</v>
      </c>
      <c r="G30" s="127">
        <f>27499.20706</f>
        <v>27499.207060000001</v>
      </c>
      <c r="H30" s="126">
        <v>2033.351735</v>
      </c>
      <c r="I30" s="106">
        <f t="shared" si="19"/>
        <v>61799.542269999904</v>
      </c>
      <c r="J30" s="126">
        <v>34556.249000000003</v>
      </c>
      <c r="K30" s="126">
        <v>27243.2932699999</v>
      </c>
      <c r="L30" s="126">
        <v>75599.717479999934</v>
      </c>
      <c r="M30" s="105">
        <f t="shared" si="13"/>
        <v>964729.97000000009</v>
      </c>
      <c r="N30" s="128">
        <v>116032.30000000002</v>
      </c>
      <c r="O30" s="128">
        <v>88836.909999999974</v>
      </c>
      <c r="P30" s="128">
        <v>9634.44</v>
      </c>
      <c r="Q30" s="128">
        <v>1040</v>
      </c>
      <c r="R30" s="128">
        <v>749186.32000000007</v>
      </c>
      <c r="S30" s="133">
        <f t="shared" si="17"/>
        <v>612566.54999999993</v>
      </c>
      <c r="T30" s="128">
        <v>547784.14</v>
      </c>
      <c r="U30" s="128">
        <v>30644.61</v>
      </c>
      <c r="V30" s="128">
        <v>13834.98</v>
      </c>
      <c r="W30" s="128">
        <v>7668</v>
      </c>
      <c r="X30" s="128">
        <v>12634.82</v>
      </c>
      <c r="Y30" s="133">
        <f t="shared" si="18"/>
        <v>295456.71999999997</v>
      </c>
      <c r="Z30" s="128">
        <v>132807.97</v>
      </c>
      <c r="AA30" s="128">
        <v>58270.82</v>
      </c>
      <c r="AB30" s="128">
        <v>7615.99</v>
      </c>
      <c r="AC30" s="128">
        <v>5500</v>
      </c>
      <c r="AD30" s="128">
        <v>91261.94</v>
      </c>
    </row>
    <row r="31" spans="1:30" s="108" customFormat="1" x14ac:dyDescent="0.25">
      <c r="A31" s="139"/>
      <c r="B31" s="123" t="str">
        <f>IF(L!$A$1=1,L!B152,IF(L!$A$1=2,L!C152,L!D152))</f>
        <v>Gjithsej 2016</v>
      </c>
      <c r="C31" s="124">
        <f t="shared" si="6"/>
        <v>14912759.689999998</v>
      </c>
      <c r="D31" s="124">
        <f>E31+M31</f>
        <v>6404282.0658250004</v>
      </c>
      <c r="E31" s="124">
        <f t="shared" ref="E31" si="20">F31+G31+H31+I31+L31</f>
        <v>1258002.6658249996</v>
      </c>
      <c r="F31" s="124">
        <f>SUM(F19:F30)</f>
        <v>297091.0241499999</v>
      </c>
      <c r="G31" s="122">
        <f>SUM(G19:G30)</f>
        <v>140920.32731999998</v>
      </c>
      <c r="H31" s="122">
        <f>SUM(H19:H30)</f>
        <v>14222.454374999999</v>
      </c>
      <c r="I31" s="122">
        <f t="shared" si="19"/>
        <v>465825.41701999994</v>
      </c>
      <c r="J31" s="122">
        <f>SUM(J19:J30)</f>
        <v>356414.95302000002</v>
      </c>
      <c r="K31" s="122">
        <f>SUM(K19:K30)</f>
        <v>109410.46399999992</v>
      </c>
      <c r="L31" s="122">
        <f>SUM(L19:L30)</f>
        <v>339943.4429599999</v>
      </c>
      <c r="M31" s="122">
        <f>SUM(N31:R31)</f>
        <v>5146279.4000000004</v>
      </c>
      <c r="N31" s="122">
        <f>SUM(N19:N30)</f>
        <v>1449524.3900000004</v>
      </c>
      <c r="O31" s="122">
        <f t="shared" ref="O31:R31" si="21">SUM(O19:O30)</f>
        <v>628005.48</v>
      </c>
      <c r="P31" s="122">
        <f t="shared" si="21"/>
        <v>100266.87000000001</v>
      </c>
      <c r="Q31" s="122">
        <f t="shared" si="21"/>
        <v>79619.88</v>
      </c>
      <c r="R31" s="122">
        <f t="shared" si="21"/>
        <v>2888862.7800000003</v>
      </c>
      <c r="S31" s="122">
        <f>SUM(T31:X31)</f>
        <v>7746464.6799999988</v>
      </c>
      <c r="T31" s="122">
        <f>SUM(T19:T30)</f>
        <v>6550918.3999999994</v>
      </c>
      <c r="U31" s="122">
        <f t="shared" ref="U31:X31" si="22">SUM(U19:U30)</f>
        <v>578284.21</v>
      </c>
      <c r="V31" s="122">
        <f t="shared" si="22"/>
        <v>81694.84</v>
      </c>
      <c r="W31" s="122">
        <f>SUM(W19:W30)</f>
        <v>34058</v>
      </c>
      <c r="X31" s="122">
        <f t="shared" si="22"/>
        <v>501509.22999999992</v>
      </c>
      <c r="Y31" s="122">
        <f>SUM(Z31:AD31)</f>
        <v>2020015.6099999996</v>
      </c>
      <c r="Z31" s="122">
        <f>SUM(Z19:Z30)</f>
        <v>1519735.6599999997</v>
      </c>
      <c r="AA31" s="122">
        <f t="shared" ref="AA31:AD31" si="23">SUM(AA19:AA30)</f>
        <v>238653.38999999998</v>
      </c>
      <c r="AB31" s="122">
        <f t="shared" si="23"/>
        <v>39261.730000000003</v>
      </c>
      <c r="AC31" s="122">
        <f t="shared" si="23"/>
        <v>76900</v>
      </c>
      <c r="AD31" s="122">
        <f t="shared" si="23"/>
        <v>145464.83000000002</v>
      </c>
    </row>
    <row r="32" spans="1:30" s="107" customFormat="1" x14ac:dyDescent="0.25">
      <c r="A32" s="137">
        <v>2017</v>
      </c>
      <c r="B32" s="104" t="str">
        <f>IF(L!$A$1=1,L!B153,IF(L!$A$1=2,L!C153,L!D153))</f>
        <v>2017 Janar</v>
      </c>
      <c r="C32" s="133">
        <f t="shared" si="6"/>
        <v>784664.16</v>
      </c>
      <c r="D32" s="105">
        <f>E32+M32</f>
        <v>173476.92920999997</v>
      </c>
      <c r="E32" s="105">
        <f>F32+G32+H32+I32+L32</f>
        <v>57713.659209999998</v>
      </c>
      <c r="F32" s="105">
        <v>24846.235489999999</v>
      </c>
      <c r="G32" s="105">
        <v>1301.9379300000001</v>
      </c>
      <c r="H32" s="105">
        <v>469.39997</v>
      </c>
      <c r="I32" s="106">
        <f t="shared" si="19"/>
        <v>30409.931329999999</v>
      </c>
      <c r="J32" s="105">
        <v>27498.698</v>
      </c>
      <c r="K32" s="105">
        <v>2911.23333</v>
      </c>
      <c r="L32" s="105">
        <v>686.15449000000001</v>
      </c>
      <c r="M32" s="105">
        <f t="shared" si="13"/>
        <v>115763.26999999999</v>
      </c>
      <c r="N32" s="105">
        <v>115763.26999999999</v>
      </c>
      <c r="O32" s="105"/>
      <c r="P32" s="105"/>
      <c r="Q32" s="105"/>
      <c r="R32" s="105"/>
      <c r="S32" s="133">
        <f t="shared" ref="S32:S37" si="24">SUM(T32:X32)</f>
        <v>544734.80000000005</v>
      </c>
      <c r="T32" s="105">
        <v>544734.80000000005</v>
      </c>
      <c r="U32" s="105"/>
      <c r="V32" s="105"/>
      <c r="W32" s="105"/>
      <c r="X32" s="105"/>
      <c r="Y32" s="133">
        <f t="shared" ref="Y32:Y37" si="25">SUM(Z32:AD32)</f>
        <v>124166.09</v>
      </c>
      <c r="Z32" s="105">
        <v>124166.09</v>
      </c>
      <c r="AA32" s="105"/>
      <c r="AB32" s="105"/>
      <c r="AC32" s="105"/>
      <c r="AD32" s="105"/>
    </row>
    <row r="33" spans="1:30" s="107" customFormat="1" x14ac:dyDescent="0.25">
      <c r="A33" s="137"/>
      <c r="B33" s="104" t="str">
        <f>IF(L!$A$1=1,L!B154,IF(L!$A$1=2,L!C154,L!D154))</f>
        <v>2017 Shkurt</v>
      </c>
      <c r="C33" s="133">
        <f t="shared" si="6"/>
        <v>1017544.85</v>
      </c>
      <c r="D33" s="105">
        <f t="shared" ref="D33:D36" si="26">E33+M33</f>
        <v>325519.74055999995</v>
      </c>
      <c r="E33" s="105">
        <f t="shared" ref="E33:E36" si="27">F33+G33+H33+I33+L33</f>
        <v>87018.600559999992</v>
      </c>
      <c r="F33" s="105">
        <v>25348.27275</v>
      </c>
      <c r="G33" s="105">
        <v>12435.78448</v>
      </c>
      <c r="H33" s="105">
        <v>2584.5733500000001</v>
      </c>
      <c r="I33" s="106">
        <f t="shared" si="19"/>
        <v>35523.365980000002</v>
      </c>
      <c r="J33" s="105">
        <v>29987.650020000001</v>
      </c>
      <c r="K33" s="105">
        <v>5535.7159600000005</v>
      </c>
      <c r="L33" s="105">
        <v>11126.603999999999</v>
      </c>
      <c r="M33" s="105">
        <f t="shared" ref="M33:M37" si="28">SUM(N33:R33)</f>
        <v>238501.13999999998</v>
      </c>
      <c r="N33" s="105">
        <v>121903.64999999997</v>
      </c>
      <c r="O33" s="105">
        <v>76945.14</v>
      </c>
      <c r="P33" s="105">
        <v>29207.750000000004</v>
      </c>
      <c r="Q33" s="105">
        <v>2300</v>
      </c>
      <c r="R33" s="105">
        <v>8144.6</v>
      </c>
      <c r="S33" s="133">
        <f t="shared" si="24"/>
        <v>618166.55999999994</v>
      </c>
      <c r="T33" s="105">
        <v>542415.61</v>
      </c>
      <c r="U33" s="105">
        <v>62433</v>
      </c>
      <c r="V33" s="105">
        <v>13317.95</v>
      </c>
      <c r="W33" s="105"/>
      <c r="X33" s="105"/>
      <c r="Y33" s="133">
        <f t="shared" si="25"/>
        <v>160877.15000000002</v>
      </c>
      <c r="Z33" s="105">
        <v>129101.82</v>
      </c>
      <c r="AA33" s="105">
        <v>12514.14</v>
      </c>
      <c r="AB33" s="105">
        <v>6786.19</v>
      </c>
      <c r="AC33" s="105">
        <v>12475</v>
      </c>
      <c r="AD33" s="105"/>
    </row>
    <row r="34" spans="1:30" s="107" customFormat="1" x14ac:dyDescent="0.25">
      <c r="A34" s="137"/>
      <c r="B34" s="104" t="str">
        <f>IF(L!$A$1=1,L!B155,IF(L!$A$1=2,L!C155,L!D155))</f>
        <v xml:space="preserve">2017 Mars </v>
      </c>
      <c r="C34" s="133">
        <f t="shared" si="6"/>
        <v>1001316.5599999999</v>
      </c>
      <c r="D34" s="105">
        <f t="shared" si="26"/>
        <v>282743.24102000002</v>
      </c>
      <c r="E34" s="105">
        <f t="shared" si="27"/>
        <v>110996.73102000001</v>
      </c>
      <c r="F34" s="105">
        <v>24671.084579999999</v>
      </c>
      <c r="G34" s="105">
        <f>13602.18788+3.63797880709171E-12</f>
        <v>13602.187880000003</v>
      </c>
      <c r="H34" s="105">
        <v>1470.13113</v>
      </c>
      <c r="I34" s="106">
        <f t="shared" si="19"/>
        <v>41293.796000000002</v>
      </c>
      <c r="J34" s="105">
        <v>31926.155299999999</v>
      </c>
      <c r="K34" s="105">
        <v>9367.6406999999999</v>
      </c>
      <c r="L34" s="105">
        <v>29959.531429999999</v>
      </c>
      <c r="M34" s="105">
        <f t="shared" si="28"/>
        <v>171746.51</v>
      </c>
      <c r="N34" s="105">
        <v>118284.67000000001</v>
      </c>
      <c r="O34" s="105">
        <v>27935.590000000004</v>
      </c>
      <c r="P34" s="105">
        <v>10426.249999999998</v>
      </c>
      <c r="Q34" s="105">
        <v>15100</v>
      </c>
      <c r="R34" s="105">
        <v>0</v>
      </c>
      <c r="S34" s="133">
        <f t="shared" si="24"/>
        <v>661390.82999999996</v>
      </c>
      <c r="T34" s="105">
        <v>544621.09</v>
      </c>
      <c r="U34" s="105">
        <v>40839.96</v>
      </c>
      <c r="V34" s="105">
        <v>4305.6099999999997</v>
      </c>
      <c r="W34" s="105">
        <v>4000</v>
      </c>
      <c r="X34" s="105">
        <v>67624.17</v>
      </c>
      <c r="Y34" s="133">
        <f t="shared" si="25"/>
        <v>168179.22</v>
      </c>
      <c r="Z34" s="105">
        <v>123412.47</v>
      </c>
      <c r="AA34" s="105">
        <v>28528.67</v>
      </c>
      <c r="AB34" s="105">
        <v>4138.08</v>
      </c>
      <c r="AC34" s="105">
        <v>12100</v>
      </c>
      <c r="AD34" s="105"/>
    </row>
    <row r="35" spans="1:30" s="107" customFormat="1" x14ac:dyDescent="0.25">
      <c r="A35" s="137"/>
      <c r="B35" s="104" t="str">
        <f>IF(L!$A$1=1,L!B156,IF(L!$A$1=2,L!C156,L!D156))</f>
        <v>2017 Prill</v>
      </c>
      <c r="C35" s="133">
        <f t="shared" si="6"/>
        <v>1036246.75</v>
      </c>
      <c r="D35" s="105">
        <f t="shared" si="26"/>
        <v>310934.01502000005</v>
      </c>
      <c r="E35" s="105">
        <f t="shared" si="27"/>
        <v>99928.195020000014</v>
      </c>
      <c r="F35" s="105">
        <v>25058.463449999999</v>
      </c>
      <c r="G35" s="105">
        <v>13938.50973</v>
      </c>
      <c r="H35" s="105">
        <v>1722.8931499999999</v>
      </c>
      <c r="I35" s="106">
        <f t="shared" si="19"/>
        <v>40998.962180000002</v>
      </c>
      <c r="J35" s="105">
        <v>31609.135450000002</v>
      </c>
      <c r="K35" s="105">
        <f>9389.82673</f>
        <v>9389.8267300000007</v>
      </c>
      <c r="L35" s="105">
        <v>18209.36651</v>
      </c>
      <c r="M35" s="105">
        <f t="shared" si="28"/>
        <v>211005.82000000007</v>
      </c>
      <c r="N35" s="105">
        <v>116849.52000000003</v>
      </c>
      <c r="O35" s="105">
        <v>58365.48000000001</v>
      </c>
      <c r="P35" s="105">
        <v>11400.04</v>
      </c>
      <c r="Q35" s="105">
        <v>5793.18</v>
      </c>
      <c r="R35" s="105">
        <v>18597.599999999999</v>
      </c>
      <c r="S35" s="133">
        <f t="shared" si="24"/>
        <v>652351.96</v>
      </c>
      <c r="T35" s="105">
        <v>544686.69999999995</v>
      </c>
      <c r="U35" s="105">
        <v>35698.769999999997</v>
      </c>
      <c r="V35" s="105">
        <v>15675.34</v>
      </c>
      <c r="W35" s="105">
        <v>2500</v>
      </c>
      <c r="X35" s="105">
        <v>53791.15</v>
      </c>
      <c r="Y35" s="133">
        <f t="shared" si="25"/>
        <v>172888.97</v>
      </c>
      <c r="Z35" s="105">
        <v>124185.02</v>
      </c>
      <c r="AA35" s="105">
        <v>26504.720000000001</v>
      </c>
      <c r="AB35" s="105">
        <v>4099.2299999999996</v>
      </c>
      <c r="AC35" s="105">
        <v>18100</v>
      </c>
      <c r="AD35" s="105"/>
    </row>
    <row r="36" spans="1:30" s="107" customFormat="1" x14ac:dyDescent="0.25">
      <c r="A36" s="137"/>
      <c r="B36" s="104" t="str">
        <f>IF(L!$A$1=1,L!B157,IF(L!$A$1=2,L!C157,L!D157))</f>
        <v>2017 Maj</v>
      </c>
      <c r="C36" s="133">
        <f t="shared" si="6"/>
        <v>1198583.3799999999</v>
      </c>
      <c r="D36" s="105">
        <f t="shared" si="26"/>
        <v>553896.69749000005</v>
      </c>
      <c r="E36" s="105">
        <f t="shared" si="27"/>
        <v>108203.85748999999</v>
      </c>
      <c r="F36" s="105">
        <v>25176.423500000001</v>
      </c>
      <c r="G36" s="105">
        <v>14788.43672</v>
      </c>
      <c r="H36" s="105">
        <v>1029.37871</v>
      </c>
      <c r="I36" s="106">
        <f>SUM(J36:K36)</f>
        <v>39702.245540000004</v>
      </c>
      <c r="J36" s="105">
        <v>31959.173699999999</v>
      </c>
      <c r="K36" s="105">
        <f>7742.36933+0.70251</f>
        <v>7743.0718400000005</v>
      </c>
      <c r="L36" s="105">
        <v>27507.373019999999</v>
      </c>
      <c r="M36" s="105">
        <f t="shared" si="28"/>
        <v>445692.84</v>
      </c>
      <c r="N36" s="105">
        <v>118243.12000000004</v>
      </c>
      <c r="O36" s="105">
        <v>40396.07</v>
      </c>
      <c r="P36" s="105">
        <v>7601.88</v>
      </c>
      <c r="Q36" s="105">
        <v>34300</v>
      </c>
      <c r="R36" s="105">
        <v>245151.77</v>
      </c>
      <c r="S36" s="133">
        <f t="shared" si="24"/>
        <v>614416.6</v>
      </c>
      <c r="T36" s="105">
        <v>553670.23</v>
      </c>
      <c r="U36" s="105">
        <v>37140.15</v>
      </c>
      <c r="V36" s="105">
        <v>3077.03</v>
      </c>
      <c r="W36" s="105">
        <v>13522</v>
      </c>
      <c r="X36" s="105">
        <v>7007.19</v>
      </c>
      <c r="Y36" s="133">
        <f t="shared" si="25"/>
        <v>138473.94</v>
      </c>
      <c r="Z36" s="105">
        <v>122584.55</v>
      </c>
      <c r="AA36" s="105">
        <v>12371.75</v>
      </c>
      <c r="AB36" s="105">
        <v>1757.64</v>
      </c>
      <c r="AC36" s="105">
        <v>1760</v>
      </c>
      <c r="AD36" s="105"/>
    </row>
    <row r="37" spans="1:30" s="107" customFormat="1" x14ac:dyDescent="0.25">
      <c r="A37" s="137"/>
      <c r="B37" s="104" t="str">
        <f>IF(L!$A$1=1,L!B158,IF(L!$A$1=2,L!C158,L!D158))</f>
        <v>2017 Qershor</v>
      </c>
      <c r="C37" s="133">
        <f t="shared" si="6"/>
        <v>1299174.78</v>
      </c>
      <c r="D37" s="105">
        <f>E37+M37</f>
        <v>572553.95578000008</v>
      </c>
      <c r="E37" s="105">
        <f>F37+G37+H37+I37+L37</f>
        <v>106702.39577999998</v>
      </c>
      <c r="F37" s="105">
        <v>25102.682019999993</v>
      </c>
      <c r="G37" s="105">
        <v>10844.51352</v>
      </c>
      <c r="H37" s="105">
        <v>772.52707000000009</v>
      </c>
      <c r="I37" s="106">
        <f>SUM(J37:K37)</f>
        <v>39202.052119999978</v>
      </c>
      <c r="J37" s="105">
        <v>32126.547020000002</v>
      </c>
      <c r="K37" s="105">
        <v>7075.5050999999803</v>
      </c>
      <c r="L37" s="105">
        <v>30780.621050000002</v>
      </c>
      <c r="M37" s="105">
        <f t="shared" si="28"/>
        <v>465851.56000000006</v>
      </c>
      <c r="N37" s="105">
        <v>117451.63000000005</v>
      </c>
      <c r="O37" s="105">
        <v>66395.91</v>
      </c>
      <c r="P37" s="105">
        <v>5157.38</v>
      </c>
      <c r="Q37" s="105">
        <v>1600</v>
      </c>
      <c r="R37" s="105">
        <v>275246.64</v>
      </c>
      <c r="S37" s="133">
        <f t="shared" si="24"/>
        <v>666330.25</v>
      </c>
      <c r="T37" s="105">
        <v>557422.86</v>
      </c>
      <c r="U37" s="105">
        <v>34813.54</v>
      </c>
      <c r="V37" s="105">
        <v>1592.12</v>
      </c>
      <c r="W37" s="105">
        <v>8500</v>
      </c>
      <c r="X37" s="105">
        <v>64001.73</v>
      </c>
      <c r="Y37" s="133">
        <f t="shared" si="25"/>
        <v>166992.97</v>
      </c>
      <c r="Z37" s="105">
        <v>125259.42</v>
      </c>
      <c r="AA37" s="105">
        <v>24691.31</v>
      </c>
      <c r="AB37" s="105">
        <v>2682.24</v>
      </c>
      <c r="AC37" s="105">
        <v>14360</v>
      </c>
      <c r="AD37" s="105"/>
    </row>
    <row r="38" spans="1:30" s="107" customFormat="1" x14ac:dyDescent="0.25">
      <c r="A38" s="137"/>
      <c r="B38" s="104" t="str">
        <f>IF(L!$A$1=1,L!B159,IF(L!$A$1=2,L!C159,L!D159))</f>
        <v>2017 Korrik</v>
      </c>
      <c r="C38" s="133">
        <f t="shared" si="6"/>
        <v>1232700.1499999999</v>
      </c>
      <c r="D38" s="105">
        <f>E38+M38</f>
        <v>549837.49738000007</v>
      </c>
      <c r="E38" s="105">
        <f>F38+G38+H38+I38+L38</f>
        <v>109225.46738000003</v>
      </c>
      <c r="F38" s="105">
        <v>24978.209360000001</v>
      </c>
      <c r="G38" s="105">
        <v>11062.969240000006</v>
      </c>
      <c r="H38" s="105">
        <v>935.6237799999999</v>
      </c>
      <c r="I38" s="106">
        <f>SUM(J38:K38)</f>
        <v>45737.674990000021</v>
      </c>
      <c r="J38" s="105">
        <v>36228.048600000002</v>
      </c>
      <c r="K38" s="105">
        <v>9509.6263900000195</v>
      </c>
      <c r="L38" s="105">
        <v>26510.990009999994</v>
      </c>
      <c r="M38" s="105">
        <f>SUM(N38:R38)</f>
        <v>440612.03</v>
      </c>
      <c r="N38" s="105">
        <v>117163.05000000002</v>
      </c>
      <c r="O38" s="105">
        <v>65119.979999999996</v>
      </c>
      <c r="P38" s="105">
        <v>6846.5</v>
      </c>
      <c r="Q38" s="105">
        <v>2162</v>
      </c>
      <c r="R38" s="105">
        <v>249320.5</v>
      </c>
      <c r="S38" s="133">
        <f>SUM(T38:X38)</f>
        <v>637018.74</v>
      </c>
      <c r="T38" s="105">
        <v>544280.11</v>
      </c>
      <c r="U38" s="105">
        <v>29772.11</v>
      </c>
      <c r="V38" s="105">
        <v>8310.15</v>
      </c>
      <c r="W38" s="105"/>
      <c r="X38" s="105">
        <v>54656.37</v>
      </c>
      <c r="Y38" s="133">
        <f>SUM(Z38:AD38)</f>
        <v>155069.38</v>
      </c>
      <c r="Z38" s="105">
        <v>125028.6</v>
      </c>
      <c r="AA38" s="105">
        <v>20372.310000000001</v>
      </c>
      <c r="AB38" s="105">
        <v>2418.4699999999998</v>
      </c>
      <c r="AC38" s="105">
        <v>7250</v>
      </c>
      <c r="AD38" s="105"/>
    </row>
    <row r="39" spans="1:30" s="107" customFormat="1" x14ac:dyDescent="0.25">
      <c r="A39" s="137"/>
      <c r="B39" s="104" t="str">
        <f>IF(L!$A$1=1,L!B160,IF(L!$A$1=2,L!C160,L!D160))</f>
        <v>2017 Gusht</v>
      </c>
      <c r="C39" s="133">
        <f t="shared" si="6"/>
        <v>1206811.4900000002</v>
      </c>
      <c r="D39" s="105">
        <f>E39+M39</f>
        <v>460303.06390000007</v>
      </c>
      <c r="E39" s="105">
        <f>F39+G39+H39+I39+L39</f>
        <v>106809.34389999999</v>
      </c>
      <c r="F39" s="105">
        <v>24661.182910000003</v>
      </c>
      <c r="G39" s="105">
        <v>11634.678899999999</v>
      </c>
      <c r="H39" s="105">
        <v>785.79655000000093</v>
      </c>
      <c r="I39" s="106">
        <f>SUM(J39:K39)</f>
        <v>36402.685249999995</v>
      </c>
      <c r="J39" s="105">
        <v>27800.572889999999</v>
      </c>
      <c r="K39" s="105">
        <v>8602.1123599999992</v>
      </c>
      <c r="L39" s="105">
        <v>33325.000289999996</v>
      </c>
      <c r="M39" s="105">
        <f>SUM(N39:R39)</f>
        <v>353493.72000000009</v>
      </c>
      <c r="N39" s="105">
        <v>117491.35000000005</v>
      </c>
      <c r="O39" s="105">
        <v>37825.11</v>
      </c>
      <c r="P39" s="105">
        <v>5077.8799999999992</v>
      </c>
      <c r="Q39" s="105">
        <v>5214</v>
      </c>
      <c r="R39" s="105">
        <v>187885.38000000003</v>
      </c>
      <c r="S39" s="133">
        <f>SUM(T39:X39)</f>
        <v>650372.46000000008</v>
      </c>
      <c r="T39" s="105">
        <v>542545.51</v>
      </c>
      <c r="U39" s="105">
        <v>28563.61</v>
      </c>
      <c r="V39" s="105">
        <v>3610.3</v>
      </c>
      <c r="W39" s="105">
        <v>500</v>
      </c>
      <c r="X39" s="105">
        <v>75153.039999999994</v>
      </c>
      <c r="Y39" s="133">
        <f>SUM(Z39:AD39)</f>
        <v>202945.31</v>
      </c>
      <c r="Z39" s="105">
        <v>123874.83</v>
      </c>
      <c r="AA39" s="105">
        <v>20595.86</v>
      </c>
      <c r="AB39" s="105">
        <v>1634.65</v>
      </c>
      <c r="AC39" s="105">
        <v>4500</v>
      </c>
      <c r="AD39" s="105">
        <v>52339.97</v>
      </c>
    </row>
    <row r="40" spans="1:30" s="107" customFormat="1" x14ac:dyDescent="0.25">
      <c r="A40" s="137"/>
      <c r="B40" s="104" t="str">
        <f>IF(L!$A$1=1,L!B161,IF(L!$A$1=2,L!C161,L!D161))</f>
        <v>2017 Shtator</v>
      </c>
      <c r="C40" s="133">
        <f t="shared" si="6"/>
        <v>987086.41999999993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>
        <f t="shared" ref="M40:M43" si="29">SUM(N40:R40)</f>
        <v>224606.23</v>
      </c>
      <c r="N40" s="105">
        <v>110487.19</v>
      </c>
      <c r="O40" s="105">
        <v>15780.090000000007</v>
      </c>
      <c r="P40" s="105">
        <v>4661.26</v>
      </c>
      <c r="Q40" s="105">
        <v>1250</v>
      </c>
      <c r="R40" s="105">
        <v>92427.69</v>
      </c>
      <c r="S40" s="133">
        <f t="shared" ref="S40:S43" si="30">SUM(T40:X40)</f>
        <v>606730.74</v>
      </c>
      <c r="T40" s="105">
        <v>542941.4</v>
      </c>
      <c r="U40" s="105">
        <v>44604.84</v>
      </c>
      <c r="V40" s="105">
        <v>735.21</v>
      </c>
      <c r="W40" s="105">
        <v>400</v>
      </c>
      <c r="X40" s="105">
        <v>18049.29</v>
      </c>
      <c r="Y40" s="133">
        <f t="shared" ref="Y40:Y43" si="31">SUM(Z40:AD40)</f>
        <v>155749.44999999998</v>
      </c>
      <c r="Z40" s="105">
        <v>124126.06</v>
      </c>
      <c r="AA40" s="105">
        <v>11972.34</v>
      </c>
      <c r="AB40" s="105">
        <v>2531.0500000000002</v>
      </c>
      <c r="AC40" s="105">
        <v>7400</v>
      </c>
      <c r="AD40" s="105">
        <v>9720</v>
      </c>
    </row>
    <row r="41" spans="1:30" s="107" customFormat="1" x14ac:dyDescent="0.25">
      <c r="A41" s="138"/>
      <c r="B41" s="104" t="str">
        <f>IF(L!$A$1=1,L!B162,IF(L!$A$1=2,L!C162,L!D162))</f>
        <v>2017 Tetor</v>
      </c>
      <c r="C41" s="133">
        <f t="shared" si="6"/>
        <v>1640243.0699999998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>
        <f t="shared" si="29"/>
        <v>745963.86999999988</v>
      </c>
      <c r="N41" s="105">
        <v>117270.75999999995</v>
      </c>
      <c r="O41" s="105">
        <v>28961.669999999991</v>
      </c>
      <c r="P41" s="105">
        <v>4406.07</v>
      </c>
      <c r="Q41" s="105">
        <v>1150</v>
      </c>
      <c r="R41" s="105">
        <v>594175.37</v>
      </c>
      <c r="S41" s="133">
        <f t="shared" si="30"/>
        <v>755716.16</v>
      </c>
      <c r="T41" s="105">
        <v>544584.93000000005</v>
      </c>
      <c r="U41" s="105">
        <v>117417.75</v>
      </c>
      <c r="V41" s="105">
        <v>8516.2199999999993</v>
      </c>
      <c r="W41" s="105">
        <v>600</v>
      </c>
      <c r="X41" s="105">
        <v>84597.26</v>
      </c>
      <c r="Y41" s="133">
        <f t="shared" si="31"/>
        <v>138563.04</v>
      </c>
      <c r="Z41" s="105">
        <v>123910.81</v>
      </c>
      <c r="AA41" s="105">
        <v>13045.79</v>
      </c>
      <c r="AB41" s="105">
        <v>1606.44</v>
      </c>
      <c r="AC41" s="105"/>
      <c r="AD41" s="105"/>
    </row>
    <row r="42" spans="1:30" s="107" customFormat="1" x14ac:dyDescent="0.25">
      <c r="A42" s="138"/>
      <c r="B42" s="104" t="str">
        <f>IF(L!$A$1=1,L!B163,IF(L!$A$1=2,L!C163,L!D163))</f>
        <v xml:space="preserve">2017 Nëntor </v>
      </c>
      <c r="C42" s="133">
        <f t="shared" si="6"/>
        <v>1293464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>
        <f t="shared" si="29"/>
        <v>425637</v>
      </c>
      <c r="N42" s="105">
        <v>120852</v>
      </c>
      <c r="O42" s="105">
        <v>41794</v>
      </c>
      <c r="P42" s="105">
        <v>12531</v>
      </c>
      <c r="Q42" s="105">
        <v>2500</v>
      </c>
      <c r="R42" s="105">
        <v>247960</v>
      </c>
      <c r="S42" s="133">
        <f t="shared" si="30"/>
        <v>711260</v>
      </c>
      <c r="T42" s="105">
        <v>552932</v>
      </c>
      <c r="U42" s="105">
        <v>82833</v>
      </c>
      <c r="V42" s="105">
        <v>10635</v>
      </c>
      <c r="W42" s="105">
        <v>100</v>
      </c>
      <c r="X42" s="105">
        <v>64760</v>
      </c>
      <c r="Y42" s="133">
        <f t="shared" si="31"/>
        <v>156567</v>
      </c>
      <c r="Z42" s="105">
        <v>108659</v>
      </c>
      <c r="AA42" s="105">
        <v>43646</v>
      </c>
      <c r="AB42" s="105">
        <v>2412</v>
      </c>
      <c r="AC42" s="105">
        <v>1850</v>
      </c>
      <c r="AD42" s="105"/>
    </row>
    <row r="43" spans="1:30" s="107" customFormat="1" x14ac:dyDescent="0.25">
      <c r="A43" s="138"/>
      <c r="B43" s="104" t="str">
        <f>IF(L!$A$1=1,L!B164,IF(L!$A$1=2,L!C164,L!D164))</f>
        <v>2017 Dhjetor</v>
      </c>
      <c r="C43" s="133">
        <f t="shared" si="6"/>
        <v>2214564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>
        <f t="shared" si="29"/>
        <v>1175358</v>
      </c>
      <c r="N43" s="105">
        <v>94682</v>
      </c>
      <c r="O43" s="105">
        <v>86075</v>
      </c>
      <c r="P43" s="105">
        <v>13029</v>
      </c>
      <c r="Q43" s="105">
        <v>3650</v>
      </c>
      <c r="R43" s="105">
        <v>977922</v>
      </c>
      <c r="S43" s="133">
        <f t="shared" si="30"/>
        <v>865262</v>
      </c>
      <c r="T43" s="105">
        <v>579715</v>
      </c>
      <c r="U43" s="105">
        <v>76274</v>
      </c>
      <c r="V43" s="105">
        <v>14545</v>
      </c>
      <c r="W43" s="105">
        <v>2490</v>
      </c>
      <c r="X43" s="105">
        <v>192238</v>
      </c>
      <c r="Y43" s="133">
        <f t="shared" si="31"/>
        <v>173944</v>
      </c>
      <c r="Z43" s="105">
        <v>114992</v>
      </c>
      <c r="AA43" s="105">
        <v>46892</v>
      </c>
      <c r="AB43" s="105">
        <v>7883</v>
      </c>
      <c r="AC43" s="105"/>
      <c r="AD43" s="105">
        <v>4177</v>
      </c>
    </row>
    <row r="44" spans="1:30" s="108" customFormat="1" x14ac:dyDescent="0.25">
      <c r="A44" s="139"/>
      <c r="B44" s="125" t="str">
        <f>IF(L!$A$1=1,L!B165,IF(L!$A$1=2,L!C165,L!D165))</f>
        <v>Gjithsej 2017</v>
      </c>
      <c r="C44" s="124">
        <f t="shared" si="6"/>
        <v>14912399.609999999</v>
      </c>
      <c r="D44" s="124">
        <f>E44+M44</f>
        <v>5800830.2403600002</v>
      </c>
      <c r="E44" s="124">
        <f>F44+G44+H44+I44+L44</f>
        <v>786598.25035999995</v>
      </c>
      <c r="F44" s="124">
        <f t="shared" ref="F44:L44" si="32">SUM(F32:F43)</f>
        <v>199842.55405999999</v>
      </c>
      <c r="G44" s="124">
        <f t="shared" si="32"/>
        <v>89609.018400000001</v>
      </c>
      <c r="H44" s="124">
        <f t="shared" si="32"/>
        <v>9770.3237100000006</v>
      </c>
      <c r="I44" s="124">
        <f t="shared" si="32"/>
        <v>309270.71338999999</v>
      </c>
      <c r="J44" s="122">
        <f t="shared" si="32"/>
        <v>249135.98098000002</v>
      </c>
      <c r="K44" s="122">
        <f t="shared" si="32"/>
        <v>60134.732409999997</v>
      </c>
      <c r="L44" s="122">
        <f t="shared" si="32"/>
        <v>178105.64079999999</v>
      </c>
      <c r="M44" s="122">
        <f>SUM(N44:R44)</f>
        <v>5014231.99</v>
      </c>
      <c r="N44" s="122">
        <f t="shared" ref="N44:R44" si="33">SUM(N32:N43)</f>
        <v>1386442.2100000002</v>
      </c>
      <c r="O44" s="122">
        <f t="shared" si="33"/>
        <v>545594.04</v>
      </c>
      <c r="P44" s="122">
        <f t="shared" si="33"/>
        <v>110345.00999999998</v>
      </c>
      <c r="Q44" s="122">
        <f t="shared" si="33"/>
        <v>75019.179999999993</v>
      </c>
      <c r="R44" s="122">
        <f t="shared" si="33"/>
        <v>2896831.55</v>
      </c>
      <c r="S44" s="122">
        <f>SUM(T44:X44)</f>
        <v>7983751.1000000006</v>
      </c>
      <c r="T44" s="122">
        <f t="shared" ref="T44:X44" si="34">SUM(T32:T43)</f>
        <v>6594550.2400000002</v>
      </c>
      <c r="U44" s="122">
        <f t="shared" si="34"/>
        <v>590390.73</v>
      </c>
      <c r="V44" s="122">
        <f t="shared" si="34"/>
        <v>84319.930000000008</v>
      </c>
      <c r="W44" s="122">
        <f t="shared" si="34"/>
        <v>32612</v>
      </c>
      <c r="X44" s="122">
        <f t="shared" si="34"/>
        <v>681878.2</v>
      </c>
      <c r="Y44" s="122">
        <f>SUM(Z44:AD44)</f>
        <v>1914416.52</v>
      </c>
      <c r="Z44" s="122">
        <f t="shared" ref="Z44:AD44" si="35">SUM(Z32:Z43)</f>
        <v>1469300.6700000002</v>
      </c>
      <c r="AA44" s="122">
        <f t="shared" si="35"/>
        <v>261134.89</v>
      </c>
      <c r="AB44" s="122">
        <f t="shared" si="35"/>
        <v>37948.99</v>
      </c>
      <c r="AC44" s="122">
        <f t="shared" si="35"/>
        <v>79795</v>
      </c>
      <c r="AD44" s="122">
        <f t="shared" si="35"/>
        <v>66236.97</v>
      </c>
    </row>
    <row r="45" spans="1:30" x14ac:dyDescent="0.25">
      <c r="A45" s="137">
        <v>2018</v>
      </c>
      <c r="B45" s="104" t="str">
        <f>IF(L!$A$1=1,L!B166,IF(L!$A$1=2,L!C166,L!D166))</f>
        <v>2018 Janar</v>
      </c>
      <c r="C45" s="133">
        <f t="shared" ref="C45:C57" si="36">M45+S45+Y45</f>
        <v>861178.74</v>
      </c>
      <c r="D45" s="105">
        <f>E45+M45</f>
        <v>206556.81920999993</v>
      </c>
      <c r="E45" s="105">
        <f>F45+G45+H45+I45+L45</f>
        <v>57713.659209999998</v>
      </c>
      <c r="F45" s="105">
        <v>24846.235489999999</v>
      </c>
      <c r="G45" s="105">
        <v>1301.9379300000001</v>
      </c>
      <c r="H45" s="105">
        <v>469.39997</v>
      </c>
      <c r="I45" s="106">
        <f t="shared" ref="I45:I48" si="37">SUM(J45:K45)</f>
        <v>30409.931329999999</v>
      </c>
      <c r="J45" s="105">
        <v>27498.698</v>
      </c>
      <c r="K45" s="105">
        <v>2911.23333</v>
      </c>
      <c r="L45" s="105">
        <v>686.15449000000001</v>
      </c>
      <c r="M45" s="105">
        <f t="shared" ref="M45:M50" si="38">SUM(N45:R45)</f>
        <v>148843.15999999992</v>
      </c>
      <c r="N45" s="105">
        <f>812877.11-T45-Z45</f>
        <v>120534.39999999994</v>
      </c>
      <c r="O45" s="105">
        <f>9200.87-U45-AA45</f>
        <v>8381.18</v>
      </c>
      <c r="P45" s="105">
        <f>31200.76-V45-AB45</f>
        <v>17927.579999999998</v>
      </c>
      <c r="Q45" s="105">
        <f>7900-W45-AC45</f>
        <v>2000</v>
      </c>
      <c r="R45" s="105"/>
      <c r="S45" s="133">
        <f t="shared" ref="S45:S50" si="39">SUM(T45:X45)</f>
        <v>574250.35000000009</v>
      </c>
      <c r="T45" s="105">
        <v>564481.56000000006</v>
      </c>
      <c r="U45" s="105">
        <v>509.74</v>
      </c>
      <c r="V45" s="105">
        <v>9259.0499999999993</v>
      </c>
      <c r="W45" s="105"/>
      <c r="X45" s="105"/>
      <c r="Y45" s="133">
        <f t="shared" ref="Y45:Y50" si="40">SUM(Z45:AD45)</f>
        <v>138085.22999999998</v>
      </c>
      <c r="Z45" s="105">
        <v>127861.15</v>
      </c>
      <c r="AA45" s="105">
        <v>309.95</v>
      </c>
      <c r="AB45" s="105">
        <v>4014.13</v>
      </c>
      <c r="AC45" s="105">
        <v>5900</v>
      </c>
      <c r="AD45" s="105"/>
    </row>
    <row r="46" spans="1:30" x14ac:dyDescent="0.25">
      <c r="A46" s="137"/>
      <c r="B46" s="104" t="str">
        <f>IF(L!$A$1=1,L!B167,IF(L!$A$1=2,L!C167,L!D167))</f>
        <v>2018 Shkurt</v>
      </c>
      <c r="C46" s="133">
        <f t="shared" si="36"/>
        <v>1091386.3799999999</v>
      </c>
      <c r="D46" s="105">
        <f t="shared" ref="D46:D49" si="41">E46+M46</f>
        <v>366474.41056000005</v>
      </c>
      <c r="E46" s="105">
        <f t="shared" ref="E46:E49" si="42">F46+G46+H46+I46+L46</f>
        <v>87018.600559999992</v>
      </c>
      <c r="F46" s="105">
        <v>25348.27275</v>
      </c>
      <c r="G46" s="105">
        <v>12435.78448</v>
      </c>
      <c r="H46" s="105">
        <v>2584.5733500000001</v>
      </c>
      <c r="I46" s="106">
        <f t="shared" si="37"/>
        <v>35523.365980000002</v>
      </c>
      <c r="J46" s="105">
        <v>29987.650020000001</v>
      </c>
      <c r="K46" s="105">
        <v>5535.7159600000005</v>
      </c>
      <c r="L46" s="105">
        <v>11126.603999999999</v>
      </c>
      <c r="M46" s="105">
        <f t="shared" si="38"/>
        <v>279455.81000000006</v>
      </c>
      <c r="N46" s="105">
        <f>812076.4-T46-Z46</f>
        <v>119845.05000000006</v>
      </c>
      <c r="O46" s="105">
        <f>192826.85-U46-AA46-80</f>
        <v>92684.970000000016</v>
      </c>
      <c r="P46" s="105">
        <f>26508.47-V46-AB46</f>
        <v>14331.130000000001</v>
      </c>
      <c r="Q46" s="105">
        <f>7460-W46-AC46</f>
        <v>0</v>
      </c>
      <c r="R46" s="105">
        <v>52594.66</v>
      </c>
      <c r="S46" s="133">
        <f t="shared" si="39"/>
        <v>657409.58999999985</v>
      </c>
      <c r="T46" s="105">
        <v>563039.96</v>
      </c>
      <c r="U46" s="105">
        <v>83064.179999999993</v>
      </c>
      <c r="V46" s="105">
        <v>6845.45</v>
      </c>
      <c r="W46" s="105">
        <v>4460</v>
      </c>
      <c r="X46" s="105"/>
      <c r="Y46" s="133">
        <f t="shared" si="40"/>
        <v>154520.98000000001</v>
      </c>
      <c r="Z46" s="105">
        <v>129191.39</v>
      </c>
      <c r="AA46" s="105">
        <v>16997.7</v>
      </c>
      <c r="AB46" s="105">
        <v>5331.89</v>
      </c>
      <c r="AC46" s="105">
        <v>3000</v>
      </c>
      <c r="AD46" s="105"/>
    </row>
    <row r="47" spans="1:30" x14ac:dyDescent="0.25">
      <c r="A47" s="137"/>
      <c r="B47" s="104" t="str">
        <f>IF(L!$A$1=1,L!B168,IF(L!$A$1=2,L!C168,L!D168))</f>
        <v xml:space="preserve">2018 Mars </v>
      </c>
      <c r="C47" s="133">
        <f t="shared" si="36"/>
        <v>917888.80999999982</v>
      </c>
      <c r="D47" s="105">
        <f t="shared" si="41"/>
        <v>281158.2410199999</v>
      </c>
      <c r="E47" s="105">
        <f t="shared" si="42"/>
        <v>110996.73102000001</v>
      </c>
      <c r="F47" s="105">
        <v>24671.084579999999</v>
      </c>
      <c r="G47" s="105">
        <f>13602.18788+3.63797880709171E-12</f>
        <v>13602.187880000003</v>
      </c>
      <c r="H47" s="105">
        <v>1470.13113</v>
      </c>
      <c r="I47" s="106">
        <f t="shared" si="37"/>
        <v>41293.796000000002</v>
      </c>
      <c r="J47" s="105">
        <v>31926.155299999999</v>
      </c>
      <c r="K47" s="105">
        <v>9367.6406999999999</v>
      </c>
      <c r="L47" s="105">
        <v>29959.531429999999</v>
      </c>
      <c r="M47" s="105">
        <f t="shared" si="38"/>
        <v>170161.50999999989</v>
      </c>
      <c r="N47" s="105">
        <f>806092.45-T47-Z47</f>
        <v>119668.61999999991</v>
      </c>
      <c r="O47" s="105">
        <f>84669.89-U47-AA47</f>
        <v>42481.87</v>
      </c>
      <c r="P47" s="105">
        <f>15861.47-V47-AB47</f>
        <v>7631.0199999999986</v>
      </c>
      <c r="Q47" s="105">
        <f>11265-W47-AC47</f>
        <v>380</v>
      </c>
      <c r="R47" s="105"/>
      <c r="S47" s="133">
        <f t="shared" si="39"/>
        <v>604432.69999999995</v>
      </c>
      <c r="T47" s="105">
        <v>560890.17000000004</v>
      </c>
      <c r="U47" s="105">
        <v>32481.59</v>
      </c>
      <c r="V47" s="105">
        <v>4725.9399999999996</v>
      </c>
      <c r="W47" s="105">
        <v>6335</v>
      </c>
      <c r="X47" s="105"/>
      <c r="Y47" s="133">
        <f t="shared" si="40"/>
        <v>143294.6</v>
      </c>
      <c r="Z47" s="105">
        <v>125533.66</v>
      </c>
      <c r="AA47" s="105">
        <v>9706.43</v>
      </c>
      <c r="AB47" s="105">
        <v>3504.51</v>
      </c>
      <c r="AC47" s="105">
        <v>4550</v>
      </c>
      <c r="AD47" s="105"/>
    </row>
    <row r="48" spans="1:30" x14ac:dyDescent="0.25">
      <c r="A48" s="137"/>
      <c r="B48" s="104" t="str">
        <f>IF(L!$A$1=1,L!B169,IF(L!$A$1=2,L!C169,L!D169))</f>
        <v>2018 Prill</v>
      </c>
      <c r="C48" s="133">
        <f t="shared" si="36"/>
        <v>1035370.2999999999</v>
      </c>
      <c r="D48" s="105">
        <f t="shared" si="41"/>
        <v>330472.77501999994</v>
      </c>
      <c r="E48" s="105">
        <f t="shared" si="42"/>
        <v>99928.195020000014</v>
      </c>
      <c r="F48" s="105">
        <v>25058.463449999999</v>
      </c>
      <c r="G48" s="105">
        <v>13938.50973</v>
      </c>
      <c r="H48" s="105">
        <v>1722.8931499999999</v>
      </c>
      <c r="I48" s="106">
        <f t="shared" si="37"/>
        <v>40998.962180000002</v>
      </c>
      <c r="J48" s="105">
        <v>31609.135450000002</v>
      </c>
      <c r="K48" s="105">
        <f>9389.82673</f>
        <v>9389.8267300000007</v>
      </c>
      <c r="L48" s="105">
        <v>18209.36651</v>
      </c>
      <c r="M48" s="105">
        <f t="shared" si="38"/>
        <v>230544.57999999996</v>
      </c>
      <c r="N48" s="105">
        <f>807631.98-T48-Z48</f>
        <v>119427.46999999996</v>
      </c>
      <c r="O48" s="105">
        <f>165496.09-U48-AA48</f>
        <v>72314.81</v>
      </c>
      <c r="P48" s="105">
        <f>35432.23-V48-AB48</f>
        <v>19042.300000000003</v>
      </c>
      <c r="Q48" s="105">
        <f>8000-W48-AC48</f>
        <v>950</v>
      </c>
      <c r="R48" s="105">
        <v>18810</v>
      </c>
      <c r="S48" s="133">
        <f t="shared" si="39"/>
        <v>622449.48</v>
      </c>
      <c r="T48" s="105">
        <v>563015.27</v>
      </c>
      <c r="U48" s="105">
        <v>46481.24</v>
      </c>
      <c r="V48" s="105">
        <v>12152.97</v>
      </c>
      <c r="W48" s="105">
        <v>800</v>
      </c>
      <c r="X48" s="105"/>
      <c r="Y48" s="133">
        <f t="shared" si="40"/>
        <v>182376.24</v>
      </c>
      <c r="Z48" s="105">
        <v>125189.24</v>
      </c>
      <c r="AA48" s="105">
        <v>46700.04</v>
      </c>
      <c r="AB48" s="105">
        <v>4236.96</v>
      </c>
      <c r="AC48" s="105">
        <v>6250</v>
      </c>
      <c r="AD48" s="105"/>
    </row>
    <row r="49" spans="1:30" x14ac:dyDescent="0.25">
      <c r="A49" s="137"/>
      <c r="B49" s="104" t="str">
        <f>IF(L!$A$1=1,L!B170,IF(L!$A$1=2,L!C170,L!D170))</f>
        <v>2018 Maj</v>
      </c>
      <c r="C49" s="133">
        <f t="shared" si="36"/>
        <v>1063187.97</v>
      </c>
      <c r="D49" s="105">
        <f t="shared" si="41"/>
        <v>341911.43748999992</v>
      </c>
      <c r="E49" s="105">
        <f t="shared" si="42"/>
        <v>108203.85748999999</v>
      </c>
      <c r="F49" s="105">
        <v>25176.423500000001</v>
      </c>
      <c r="G49" s="105">
        <v>14788.43672</v>
      </c>
      <c r="H49" s="105">
        <v>1029.37871</v>
      </c>
      <c r="I49" s="106">
        <f>SUM(J49:K49)</f>
        <v>39702.245540000004</v>
      </c>
      <c r="J49" s="105">
        <v>31959.173699999999</v>
      </c>
      <c r="K49" s="105">
        <f>7742.36933+0.70251</f>
        <v>7743.0718400000005</v>
      </c>
      <c r="L49" s="105">
        <v>27507.373019999999</v>
      </c>
      <c r="M49" s="105">
        <f t="shared" si="38"/>
        <v>233707.57999999996</v>
      </c>
      <c r="N49" s="105">
        <f>802395.12-T49-Z49</f>
        <v>111800.49999999994</v>
      </c>
      <c r="O49" s="105">
        <f>91332.02-U49-AA49</f>
        <v>47060.950000000004</v>
      </c>
      <c r="P49" s="105">
        <f>16674.16-V49-AB49</f>
        <v>6862.3599999999988</v>
      </c>
      <c r="Q49" s="105">
        <f>9000-W49-AC49</f>
        <v>0</v>
      </c>
      <c r="R49" s="105">
        <f>143786.67-X49-AD49</f>
        <v>67983.770000000019</v>
      </c>
      <c r="S49" s="133">
        <f t="shared" si="39"/>
        <v>678245.93</v>
      </c>
      <c r="T49" s="105">
        <v>561681.43000000005</v>
      </c>
      <c r="U49" s="105">
        <v>35188.720000000001</v>
      </c>
      <c r="V49" s="105">
        <v>6073.88</v>
      </c>
      <c r="W49" s="105">
        <v>800</v>
      </c>
      <c r="X49" s="105">
        <v>74501.899999999994</v>
      </c>
      <c r="Y49" s="133">
        <f t="shared" si="40"/>
        <v>151234.46000000002</v>
      </c>
      <c r="Z49" s="105">
        <v>128913.19</v>
      </c>
      <c r="AA49" s="105">
        <v>9082.35</v>
      </c>
      <c r="AB49" s="105">
        <v>3737.92</v>
      </c>
      <c r="AC49" s="105">
        <v>8200</v>
      </c>
      <c r="AD49" s="105">
        <v>1301</v>
      </c>
    </row>
    <row r="50" spans="1:30" x14ac:dyDescent="0.25">
      <c r="A50" s="137"/>
      <c r="B50" s="104" t="str">
        <f>IF(L!$A$1=1,L!B171,IF(L!$A$1=2,L!C171,L!D171))</f>
        <v>2018 Qershor</v>
      </c>
      <c r="C50" s="133">
        <f t="shared" si="36"/>
        <v>1228079.5399999998</v>
      </c>
      <c r="D50" s="105">
        <f>E50+M50</f>
        <v>563105.16577999992</v>
      </c>
      <c r="E50" s="105">
        <f>F50+G50+H50+I50+L50</f>
        <v>106702.39577999998</v>
      </c>
      <c r="F50" s="105">
        <v>25102.682019999993</v>
      </c>
      <c r="G50" s="105">
        <v>10844.51352</v>
      </c>
      <c r="H50" s="105">
        <v>772.52707000000009</v>
      </c>
      <c r="I50" s="106">
        <f>SUM(J50:K50)</f>
        <v>39202.052119999978</v>
      </c>
      <c r="J50" s="105">
        <v>32126.547020000002</v>
      </c>
      <c r="K50" s="105">
        <v>7075.5050999999803</v>
      </c>
      <c r="L50" s="105">
        <v>30780.621050000002</v>
      </c>
      <c r="M50" s="105">
        <f t="shared" si="38"/>
        <v>456402.76999999996</v>
      </c>
      <c r="N50" s="105">
        <f>817717.97-T50-Z50</f>
        <v>124804.22999999995</v>
      </c>
      <c r="O50" s="105">
        <f>98339.72-U50-AA50</f>
        <v>47366.13</v>
      </c>
      <c r="P50" s="105">
        <f>7663.33-V50-AB50</f>
        <v>4373.8899999999994</v>
      </c>
      <c r="Q50" s="105">
        <f>25380-W50-AC50</f>
        <v>880</v>
      </c>
      <c r="R50" s="105">
        <v>278978.52</v>
      </c>
      <c r="S50" s="133">
        <f t="shared" si="39"/>
        <v>620463.35</v>
      </c>
      <c r="T50" s="105">
        <v>565138.89</v>
      </c>
      <c r="U50" s="105">
        <v>41779.08</v>
      </c>
      <c r="V50" s="105">
        <v>1095.3800000000001</v>
      </c>
      <c r="W50" s="105">
        <v>12450</v>
      </c>
      <c r="X50" s="105"/>
      <c r="Y50" s="133">
        <f t="shared" si="40"/>
        <v>151213.42000000001</v>
      </c>
      <c r="Z50" s="105">
        <v>127774.85</v>
      </c>
      <c r="AA50" s="105">
        <v>9194.51</v>
      </c>
      <c r="AB50" s="105">
        <v>2194.06</v>
      </c>
      <c r="AC50" s="105">
        <v>12050</v>
      </c>
      <c r="AD50" s="105"/>
    </row>
    <row r="51" spans="1:30" x14ac:dyDescent="0.25">
      <c r="A51" s="137"/>
      <c r="B51" s="104" t="str">
        <f>IF(L!$A$1=1,L!B172,IF(L!$A$1=2,L!C172,L!D172))</f>
        <v>2018 Korrik</v>
      </c>
      <c r="C51" s="133">
        <f t="shared" si="36"/>
        <v>1203719.47</v>
      </c>
      <c r="D51" s="105">
        <f>E51+M51</f>
        <v>514882.69738000014</v>
      </c>
      <c r="E51" s="105">
        <f>F51+G51+H51+I51+L51</f>
        <v>109225.46738000003</v>
      </c>
      <c r="F51" s="105">
        <v>24978.209360000001</v>
      </c>
      <c r="G51" s="105">
        <v>11062.969240000006</v>
      </c>
      <c r="H51" s="105">
        <v>935.6237799999999</v>
      </c>
      <c r="I51" s="106">
        <f>SUM(J51:K51)</f>
        <v>45737.674990000021</v>
      </c>
      <c r="J51" s="105">
        <v>36228.048600000002</v>
      </c>
      <c r="K51" s="105">
        <v>9509.6263900000195</v>
      </c>
      <c r="L51" s="105">
        <v>26510.990009999994</v>
      </c>
      <c r="M51" s="105">
        <f>SUM(N51:R51)</f>
        <v>405657.2300000001</v>
      </c>
      <c r="N51" s="105">
        <f>807595.51-T51-Z51</f>
        <v>119073.95000000007</v>
      </c>
      <c r="O51" s="105">
        <f>153335.58-U51-AA51</f>
        <v>81703.439999999988</v>
      </c>
      <c r="P51" s="105">
        <f>21243.84-V51-AB51</f>
        <v>10045.299999999999</v>
      </c>
      <c r="Q51" s="105">
        <f>54500-W51-AC51</f>
        <v>27790</v>
      </c>
      <c r="R51" s="105">
        <v>167044.54</v>
      </c>
      <c r="S51" s="133">
        <f>SUM(T51:X51)</f>
        <v>623442.37999999989</v>
      </c>
      <c r="T51" s="105">
        <v>560901.43999999994</v>
      </c>
      <c r="U51" s="105">
        <v>51216.59</v>
      </c>
      <c r="V51" s="105">
        <v>8714.35</v>
      </c>
      <c r="W51" s="105">
        <v>2610</v>
      </c>
      <c r="X51" s="105"/>
      <c r="Y51" s="133">
        <f>SUM(Z51:AD51)</f>
        <v>174619.86</v>
      </c>
      <c r="Z51" s="105">
        <v>127620.12</v>
      </c>
      <c r="AA51" s="105">
        <v>20415.55</v>
      </c>
      <c r="AB51" s="105">
        <v>2484.19</v>
      </c>
      <c r="AC51" s="105">
        <v>24100</v>
      </c>
      <c r="AD51" s="105"/>
    </row>
    <row r="52" spans="1:30" x14ac:dyDescent="0.25">
      <c r="A52" s="137"/>
      <c r="B52" s="104" t="str">
        <f>IF(L!$A$1=1,L!B173,IF(L!$A$1=2,L!C173,L!D173))</f>
        <v>2018 Gusht</v>
      </c>
      <c r="C52" s="133">
        <f t="shared" si="36"/>
        <v>1283338.8400000001</v>
      </c>
      <c r="D52" s="105">
        <f>E52+M52</f>
        <v>577892.87390000001</v>
      </c>
      <c r="E52" s="105">
        <f>F52+G52+H52+I52+L52</f>
        <v>106809.34389999999</v>
      </c>
      <c r="F52" s="105">
        <v>24661.182910000003</v>
      </c>
      <c r="G52" s="105">
        <v>11634.678899999999</v>
      </c>
      <c r="H52" s="105">
        <v>785.79655000000093</v>
      </c>
      <c r="I52" s="106">
        <f>SUM(J52:K52)</f>
        <v>36402.685249999995</v>
      </c>
      <c r="J52" s="105">
        <v>27800.572889999999</v>
      </c>
      <c r="K52" s="105">
        <v>8602.1123599999992</v>
      </c>
      <c r="L52" s="105">
        <v>33325.000289999996</v>
      </c>
      <c r="M52" s="105">
        <f>SUM(N52:R52)</f>
        <v>471083.53</v>
      </c>
      <c r="N52" s="105">
        <f>805772.37-T52-Z52</f>
        <v>121767.79000000005</v>
      </c>
      <c r="O52" s="105">
        <f>150639.8-U52-AA52</f>
        <v>106380.56999999999</v>
      </c>
      <c r="P52" s="105">
        <f>8763.28-V52-AB52</f>
        <v>5554.93</v>
      </c>
      <c r="Q52" s="105">
        <f>29460-W52-AC52</f>
        <v>21430</v>
      </c>
      <c r="R52" s="105">
        <f>288703.39-X52-AD52</f>
        <v>215950.24000000002</v>
      </c>
      <c r="S52" s="133">
        <f>SUM(T52:X52)</f>
        <v>668012.54999999993</v>
      </c>
      <c r="T52" s="105">
        <v>558198.56999999995</v>
      </c>
      <c r="U52" s="105">
        <v>29797.96</v>
      </c>
      <c r="V52" s="105">
        <v>2832.87</v>
      </c>
      <c r="W52" s="105">
        <v>4430</v>
      </c>
      <c r="X52" s="105">
        <v>72753.149999999994</v>
      </c>
      <c r="Y52" s="133">
        <f>SUM(Z52:AD52)</f>
        <v>144242.76</v>
      </c>
      <c r="Z52" s="105">
        <v>125806.01</v>
      </c>
      <c r="AA52" s="105">
        <v>14461.27</v>
      </c>
      <c r="AB52" s="105">
        <v>375.48</v>
      </c>
      <c r="AC52" s="105">
        <v>3600</v>
      </c>
      <c r="AD52" s="105"/>
    </row>
    <row r="53" spans="1:30" x14ac:dyDescent="0.25">
      <c r="A53" s="137"/>
      <c r="B53" s="104" t="str">
        <f>IF(L!$A$1=1,L!B174,IF(L!$A$1=2,L!C174,L!D174))</f>
        <v>2018 Shtator</v>
      </c>
      <c r="C53" s="133">
        <f t="shared" si="36"/>
        <v>1423431.7600000002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>
        <f t="shared" ref="M53:M56" si="43">SUM(N53:R53)</f>
        <v>520841.52000000014</v>
      </c>
      <c r="N53" s="105">
        <f>806771.67-T53-Z53</f>
        <v>114578.7900000001</v>
      </c>
      <c r="O53" s="105">
        <f>190426.38-U53-AA53</f>
        <v>96919.2</v>
      </c>
      <c r="P53" s="105">
        <f>8040.59-V53-AB53</f>
        <v>2606.33</v>
      </c>
      <c r="Q53" s="105">
        <f>5150-W53-AC53</f>
        <v>2900</v>
      </c>
      <c r="R53" s="105">
        <f>413043.12-X53-AD53</f>
        <v>303837.2</v>
      </c>
      <c r="S53" s="133">
        <f t="shared" ref="S53:S56" si="44">SUM(T53:X53)</f>
        <v>744089.45000000007</v>
      </c>
      <c r="T53" s="105">
        <v>566292.94999999995</v>
      </c>
      <c r="U53" s="105">
        <v>78618.66</v>
      </c>
      <c r="V53" s="105">
        <v>1798.92</v>
      </c>
      <c r="W53" s="105"/>
      <c r="X53" s="105">
        <v>97378.92</v>
      </c>
      <c r="Y53" s="133">
        <f t="shared" ref="Y53:Y56" si="45">SUM(Z53:AD53)</f>
        <v>158500.78999999998</v>
      </c>
      <c r="Z53" s="105">
        <v>125899.93</v>
      </c>
      <c r="AA53" s="105">
        <v>14888.52</v>
      </c>
      <c r="AB53" s="105">
        <v>3635.34</v>
      </c>
      <c r="AC53" s="105">
        <v>2250</v>
      </c>
      <c r="AD53" s="105">
        <v>11827</v>
      </c>
    </row>
    <row r="54" spans="1:30" x14ac:dyDescent="0.25">
      <c r="A54" s="138"/>
      <c r="B54" s="104" t="str">
        <f>IF(L!$A$1=1,L!B175,IF(L!$A$1=2,L!C175,L!D175))</f>
        <v>2018 Tetor</v>
      </c>
      <c r="C54" s="133">
        <f t="shared" si="36"/>
        <v>1479314.63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>
        <f t="shared" si="43"/>
        <v>494376.48</v>
      </c>
      <c r="N54" s="105">
        <f>818109.72-T54-Z54</f>
        <v>122152.74999999997</v>
      </c>
      <c r="O54" s="105">
        <f>261974.42-U54-AA54</f>
        <v>98175.61</v>
      </c>
      <c r="P54" s="105">
        <f>32913.71-V54-AB54</f>
        <v>21245.839999999997</v>
      </c>
      <c r="Q54" s="105">
        <f>6400-AC54</f>
        <v>600</v>
      </c>
      <c r="R54" s="105">
        <f>359916.78-X54-AD54</f>
        <v>252202.28000000003</v>
      </c>
      <c r="S54" s="133">
        <f t="shared" si="44"/>
        <v>794832.63</v>
      </c>
      <c r="T54" s="105">
        <v>563219.89</v>
      </c>
      <c r="U54" s="105">
        <v>139086.17000000001</v>
      </c>
      <c r="V54" s="105">
        <v>9065.3700000000008</v>
      </c>
      <c r="W54" s="105"/>
      <c r="X54" s="105">
        <v>83461.2</v>
      </c>
      <c r="Y54" s="133">
        <f t="shared" si="45"/>
        <v>190105.51999999996</v>
      </c>
      <c r="Z54" s="105">
        <v>132737.07999999999</v>
      </c>
      <c r="AA54" s="105">
        <v>24712.639999999999</v>
      </c>
      <c r="AB54" s="105">
        <v>2602.5</v>
      </c>
      <c r="AC54" s="105">
        <v>5800</v>
      </c>
      <c r="AD54" s="105">
        <v>24253.3</v>
      </c>
    </row>
    <row r="55" spans="1:30" x14ac:dyDescent="0.25">
      <c r="A55" s="138"/>
      <c r="B55" s="104" t="str">
        <f>IF(L!$A$1=1,L!B176,IF(L!$A$1=2,L!C176,L!D176))</f>
        <v xml:space="preserve">2018 Nëntor </v>
      </c>
      <c r="C55" s="133">
        <f t="shared" si="36"/>
        <v>1776330.9399999997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>
        <f t="shared" si="43"/>
        <v>740524.84</v>
      </c>
      <c r="N55" s="105">
        <f>829144.84-T55-Z55</f>
        <v>123101.07000000004</v>
      </c>
      <c r="O55" s="105">
        <f>186550.14-U55-AA55</f>
        <v>76387.44</v>
      </c>
      <c r="P55" s="105">
        <f>13631.1-V55-AB55</f>
        <v>9360</v>
      </c>
      <c r="Q55" s="105">
        <f>5761-W55-AC55</f>
        <v>1446</v>
      </c>
      <c r="R55" s="105">
        <f>741243.86-X55-AD55</f>
        <v>530230.32999999996</v>
      </c>
      <c r="S55" s="133">
        <f t="shared" si="44"/>
        <v>791850.94</v>
      </c>
      <c r="T55" s="105">
        <v>569021.93999999994</v>
      </c>
      <c r="U55" s="105">
        <v>80284.02</v>
      </c>
      <c r="V55" s="105">
        <v>1103.94</v>
      </c>
      <c r="W55" s="105">
        <v>1015</v>
      </c>
      <c r="X55" s="105">
        <v>140426.04</v>
      </c>
      <c r="Y55" s="133">
        <f t="shared" si="45"/>
        <v>243955.15999999997</v>
      </c>
      <c r="Z55" s="105">
        <v>137021.82999999999</v>
      </c>
      <c r="AA55" s="105">
        <v>29878.68</v>
      </c>
      <c r="AB55" s="105">
        <v>3167.16</v>
      </c>
      <c r="AC55" s="105">
        <v>3300</v>
      </c>
      <c r="AD55" s="105">
        <v>70587.490000000005</v>
      </c>
    </row>
    <row r="56" spans="1:30" x14ac:dyDescent="0.25">
      <c r="A56" s="138"/>
      <c r="B56" s="104" t="str">
        <f>IF(L!$A$1=1,L!B177,IF(L!$A$1=2,L!C177,L!D177))</f>
        <v>2018 Dhjetor</v>
      </c>
      <c r="C56" s="133">
        <f t="shared" si="36"/>
        <v>3251628.1599999997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>
        <f t="shared" si="43"/>
        <v>1949217.94</v>
      </c>
      <c r="N56" s="105">
        <f>846552.92-T56-Z56</f>
        <v>142733.78</v>
      </c>
      <c r="O56" s="105">
        <f>421445.2-U56-AA56</f>
        <v>227363.87</v>
      </c>
      <c r="P56" s="105">
        <f>39660.8-V56-AB56</f>
        <v>19801.000000000004</v>
      </c>
      <c r="Q56" s="105">
        <f>9516-W56-AC56</f>
        <v>3966</v>
      </c>
      <c r="R56" s="105">
        <f>1934453.24-X56-AD56</f>
        <v>1555353.2899999998</v>
      </c>
      <c r="S56" s="133">
        <f t="shared" si="44"/>
        <v>980385.3600000001</v>
      </c>
      <c r="T56" s="105">
        <v>567138.16</v>
      </c>
      <c r="U56" s="105">
        <v>112971.89</v>
      </c>
      <c r="V56" s="105">
        <v>17245.66</v>
      </c>
      <c r="W56" s="105">
        <v>100</v>
      </c>
      <c r="X56" s="105">
        <v>282929.65000000002</v>
      </c>
      <c r="Y56" s="133">
        <f t="shared" si="45"/>
        <v>322024.86000000004</v>
      </c>
      <c r="Z56" s="105">
        <v>136680.98000000001</v>
      </c>
      <c r="AA56" s="105">
        <v>81109.440000000002</v>
      </c>
      <c r="AB56" s="105">
        <v>2614.14</v>
      </c>
      <c r="AC56" s="105">
        <v>5450</v>
      </c>
      <c r="AD56" s="105">
        <v>96170.3</v>
      </c>
    </row>
    <row r="57" spans="1:30" x14ac:dyDescent="0.25">
      <c r="A57" s="139"/>
      <c r="B57" s="125" t="str">
        <f>IF(L!$A$1=1,L!B178,IF(L!$A$1=2,L!C178,L!D178))</f>
        <v>Gjithsej 2018</v>
      </c>
      <c r="C57" s="124">
        <f t="shared" si="36"/>
        <v>16614855.539999999</v>
      </c>
      <c r="D57" s="124">
        <f>E57+M57</f>
        <v>6887415.2003600001</v>
      </c>
      <c r="E57" s="124">
        <f>F57+G57+H57+I57+L57</f>
        <v>786598.25035999995</v>
      </c>
      <c r="F57" s="124">
        <f t="shared" ref="F57:L57" si="46">SUM(F45:F56)</f>
        <v>199842.55405999999</v>
      </c>
      <c r="G57" s="124">
        <f t="shared" si="46"/>
        <v>89609.018400000001</v>
      </c>
      <c r="H57" s="124">
        <f t="shared" si="46"/>
        <v>9770.3237100000006</v>
      </c>
      <c r="I57" s="124">
        <f t="shared" si="46"/>
        <v>309270.71338999999</v>
      </c>
      <c r="J57" s="122">
        <f t="shared" si="46"/>
        <v>249135.98098000002</v>
      </c>
      <c r="K57" s="122">
        <f t="shared" si="46"/>
        <v>60134.732409999997</v>
      </c>
      <c r="L57" s="122">
        <f t="shared" si="46"/>
        <v>178105.64079999999</v>
      </c>
      <c r="M57" s="122">
        <f>SUM(N57:R57)</f>
        <v>6100816.9500000002</v>
      </c>
      <c r="N57" s="122">
        <f t="shared" ref="N57:R57" si="47">SUM(N45:N56)</f>
        <v>1459488.4000000001</v>
      </c>
      <c r="O57" s="122">
        <f t="shared" si="47"/>
        <v>997220.03999999992</v>
      </c>
      <c r="P57" s="122">
        <f t="shared" si="47"/>
        <v>138781.68000000002</v>
      </c>
      <c r="Q57" s="122">
        <f t="shared" si="47"/>
        <v>62342</v>
      </c>
      <c r="R57" s="122">
        <f t="shared" si="47"/>
        <v>3442984.83</v>
      </c>
      <c r="S57" s="122">
        <f>SUM(T57:X57)</f>
        <v>8359864.7100000009</v>
      </c>
      <c r="T57" s="122">
        <f t="shared" ref="T57:X57" si="48">SUM(T45:T56)</f>
        <v>6763020.2300000004</v>
      </c>
      <c r="U57" s="122">
        <f t="shared" si="48"/>
        <v>731479.84000000008</v>
      </c>
      <c r="V57" s="122">
        <f t="shared" si="48"/>
        <v>80913.78</v>
      </c>
      <c r="W57" s="122">
        <f t="shared" si="48"/>
        <v>33000</v>
      </c>
      <c r="X57" s="122">
        <f t="shared" si="48"/>
        <v>751450.86</v>
      </c>
      <c r="Y57" s="122">
        <f>SUM(Z57:AD57)</f>
        <v>2154173.88</v>
      </c>
      <c r="Z57" s="122">
        <f t="shared" ref="Z57:AD57" si="49">SUM(Z45:Z56)</f>
        <v>1550229.43</v>
      </c>
      <c r="AA57" s="122">
        <f t="shared" si="49"/>
        <v>277457.08</v>
      </c>
      <c r="AB57" s="122">
        <f t="shared" si="49"/>
        <v>37898.28</v>
      </c>
      <c r="AC57" s="122">
        <f t="shared" si="49"/>
        <v>84450</v>
      </c>
      <c r="AD57" s="122">
        <f t="shared" si="49"/>
        <v>204139.09000000003</v>
      </c>
    </row>
    <row r="58" spans="1:30" x14ac:dyDescent="0.25">
      <c r="A58" s="137">
        <v>2019</v>
      </c>
      <c r="B58" s="104" t="str">
        <f>IF(L!$A$1=1,L!B179,IF(L!$A$1=2,L!C179,L!D179))</f>
        <v>2019 Janar</v>
      </c>
      <c r="C58" s="133">
        <f t="shared" ref="C58:C70" si="50">M58+S58+Y58</f>
        <v>876068.42999999993</v>
      </c>
      <c r="D58" s="105">
        <f>E58+M58</f>
        <v>211991.43921000004</v>
      </c>
      <c r="E58" s="105">
        <f>F58+G58+H58+I58+L58</f>
        <v>57713.659209999998</v>
      </c>
      <c r="F58" s="105">
        <v>24846.235489999999</v>
      </c>
      <c r="G58" s="105">
        <v>1301.9379300000001</v>
      </c>
      <c r="H58" s="105">
        <v>469.39997</v>
      </c>
      <c r="I58" s="106">
        <f t="shared" ref="I58:I61" si="51">SUM(J58:K58)</f>
        <v>30409.931329999999</v>
      </c>
      <c r="J58" s="105">
        <v>27498.698</v>
      </c>
      <c r="K58" s="105">
        <v>2911.23333</v>
      </c>
      <c r="L58" s="105">
        <v>686.15449000000001</v>
      </c>
      <c r="M58" s="105">
        <f t="shared" ref="M58:M63" si="52">SUM(N58:R58)</f>
        <v>154277.78000000003</v>
      </c>
      <c r="N58" s="105">
        <f>814670.23-T58-Z58</f>
        <v>119538.94000000003</v>
      </c>
      <c r="O58" s="105">
        <f>45666.5-U58-AA58</f>
        <v>28191.190000000002</v>
      </c>
      <c r="P58" s="105">
        <f>12781.7-V58-AB58</f>
        <v>6547.6500000000015</v>
      </c>
      <c r="Q58" s="105"/>
      <c r="R58" s="105"/>
      <c r="S58" s="133">
        <f t="shared" ref="S58:S63" si="53">SUM(T58:X58)</f>
        <v>575200.77999999991</v>
      </c>
      <c r="T58" s="105">
        <v>563178.96</v>
      </c>
      <c r="U58" s="105">
        <v>9235.2000000000007</v>
      </c>
      <c r="V58" s="105">
        <v>2786.62</v>
      </c>
      <c r="W58" s="105"/>
      <c r="X58" s="105"/>
      <c r="Y58" s="133">
        <f t="shared" ref="Y58:Y63" si="54">SUM(Z58:AD58)</f>
        <v>146589.87</v>
      </c>
      <c r="Z58" s="105">
        <v>131952.32999999999</v>
      </c>
      <c r="AA58" s="105">
        <v>8240.11</v>
      </c>
      <c r="AB58" s="105">
        <v>3447.43</v>
      </c>
      <c r="AC58" s="105">
        <v>2950</v>
      </c>
      <c r="AD58" s="105"/>
    </row>
    <row r="59" spans="1:30" x14ac:dyDescent="0.25">
      <c r="A59" s="137"/>
      <c r="B59" s="104" t="str">
        <f>IF(L!$A$1=1,L!B180,IF(L!$A$1=2,L!C180,L!D180))</f>
        <v>2019 Shkurt</v>
      </c>
      <c r="C59" s="133">
        <f t="shared" si="50"/>
        <v>962397.28</v>
      </c>
      <c r="D59" s="105">
        <f t="shared" ref="D59:D62" si="55">E59+M59</f>
        <v>298730.55056</v>
      </c>
      <c r="E59" s="105">
        <f t="shared" ref="E59:E62" si="56">F59+G59+H59+I59+L59</f>
        <v>87018.600559999992</v>
      </c>
      <c r="F59" s="105">
        <v>25348.27275</v>
      </c>
      <c r="G59" s="105">
        <v>12435.78448</v>
      </c>
      <c r="H59" s="105">
        <v>2584.5733500000001</v>
      </c>
      <c r="I59" s="106">
        <f t="shared" si="51"/>
        <v>35523.365980000002</v>
      </c>
      <c r="J59" s="105">
        <v>29987.650020000001</v>
      </c>
      <c r="K59" s="105">
        <v>5535.7159600000005</v>
      </c>
      <c r="L59" s="105">
        <v>11126.603999999999</v>
      </c>
      <c r="M59" s="105">
        <f t="shared" si="52"/>
        <v>211711.95000000004</v>
      </c>
      <c r="N59" s="105">
        <f>821561.97-T59-Z59</f>
        <v>117135.68000000002</v>
      </c>
      <c r="O59" s="105">
        <f>119273.04-U59-AA59</f>
        <v>82802.13</v>
      </c>
      <c r="P59" s="105">
        <f>18082.27-V59-AB59</f>
        <v>8294.1400000000012</v>
      </c>
      <c r="Q59" s="105">
        <v>3480</v>
      </c>
      <c r="R59" s="105"/>
      <c r="S59" s="133">
        <f t="shared" si="53"/>
        <v>597764.41999999993</v>
      </c>
      <c r="T59" s="105">
        <v>569377.06999999995</v>
      </c>
      <c r="U59" s="105">
        <v>21628.37</v>
      </c>
      <c r="V59" s="105">
        <v>6758.98</v>
      </c>
      <c r="W59" s="105"/>
      <c r="X59" s="105"/>
      <c r="Y59" s="133">
        <f t="shared" si="54"/>
        <v>152920.91</v>
      </c>
      <c r="Z59" s="105">
        <v>135049.22</v>
      </c>
      <c r="AA59" s="105">
        <v>14842.54</v>
      </c>
      <c r="AB59" s="105">
        <v>3029.15</v>
      </c>
      <c r="AC59" s="105"/>
      <c r="AD59" s="105"/>
    </row>
    <row r="60" spans="1:30" x14ac:dyDescent="0.25">
      <c r="A60" s="137"/>
      <c r="B60" s="104" t="str">
        <f>IF(L!$A$1=1,L!B181,IF(L!$A$1=2,L!C181,L!D181))</f>
        <v xml:space="preserve">2019 Mars </v>
      </c>
      <c r="C60" s="133">
        <f t="shared" si="50"/>
        <v>1094421.3499999999</v>
      </c>
      <c r="D60" s="105">
        <f t="shared" si="55"/>
        <v>387342.65102000005</v>
      </c>
      <c r="E60" s="105">
        <f t="shared" si="56"/>
        <v>110996.73102000001</v>
      </c>
      <c r="F60" s="105">
        <v>24671.084579999999</v>
      </c>
      <c r="G60" s="105">
        <f>13602.18788+3.63797880709171E-12</f>
        <v>13602.187880000003</v>
      </c>
      <c r="H60" s="105">
        <v>1470.13113</v>
      </c>
      <c r="I60" s="106">
        <f t="shared" si="51"/>
        <v>41293.796000000002</v>
      </c>
      <c r="J60" s="105">
        <v>31926.155299999999</v>
      </c>
      <c r="K60" s="105">
        <v>9367.6406999999999</v>
      </c>
      <c r="L60" s="105">
        <v>29959.531429999999</v>
      </c>
      <c r="M60" s="105">
        <f t="shared" si="52"/>
        <v>276345.92000000004</v>
      </c>
      <c r="N60" s="105">
        <f>822180.5-T60-Z60</f>
        <v>118221.19000000005</v>
      </c>
      <c r="O60" s="105">
        <f>198891.53-U60-AA60</f>
        <v>113043.5</v>
      </c>
      <c r="P60" s="105">
        <f>36889.32-V60-AB60</f>
        <v>21321.23</v>
      </c>
      <c r="Q60" s="105">
        <f>12700-W60-AC60</f>
        <v>0</v>
      </c>
      <c r="R60" s="105">
        <f>23760</f>
        <v>23760</v>
      </c>
      <c r="S60" s="133">
        <f t="shared" si="53"/>
        <v>653631.87999999989</v>
      </c>
      <c r="T60" s="105">
        <v>573215.06999999995</v>
      </c>
      <c r="U60" s="105">
        <v>63373.84</v>
      </c>
      <c r="V60" s="105">
        <v>10542.97</v>
      </c>
      <c r="W60" s="105">
        <v>6500</v>
      </c>
      <c r="X60" s="105"/>
      <c r="Y60" s="133">
        <f t="shared" si="54"/>
        <v>164443.54999999999</v>
      </c>
      <c r="Z60" s="105">
        <v>130744.24</v>
      </c>
      <c r="AA60" s="105">
        <v>22474.19</v>
      </c>
      <c r="AB60" s="105">
        <v>5025.12</v>
      </c>
      <c r="AC60" s="105">
        <v>6200</v>
      </c>
      <c r="AD60" s="105"/>
    </row>
    <row r="61" spans="1:30" x14ac:dyDescent="0.25">
      <c r="A61" s="137"/>
      <c r="B61" s="104" t="str">
        <f>IF(L!$A$1=1,L!B182,IF(L!$A$1=2,L!C182,L!D182))</f>
        <v>2019 Prill</v>
      </c>
      <c r="C61" s="133">
        <f t="shared" si="50"/>
        <v>1269205.68</v>
      </c>
      <c r="D61" s="105">
        <f t="shared" si="55"/>
        <v>522452.85502000002</v>
      </c>
      <c r="E61" s="105">
        <f t="shared" si="56"/>
        <v>99928.195020000014</v>
      </c>
      <c r="F61" s="105">
        <v>25058.463449999999</v>
      </c>
      <c r="G61" s="105">
        <v>13938.50973</v>
      </c>
      <c r="H61" s="105">
        <v>1722.8931499999999</v>
      </c>
      <c r="I61" s="106">
        <f t="shared" si="51"/>
        <v>40998.962180000002</v>
      </c>
      <c r="J61" s="105">
        <v>31609.135450000002</v>
      </c>
      <c r="K61" s="105">
        <f>9389.82673</f>
        <v>9389.8267300000007</v>
      </c>
      <c r="L61" s="105">
        <v>18209.36651</v>
      </c>
      <c r="M61" s="105">
        <f t="shared" si="52"/>
        <v>422524.66000000003</v>
      </c>
      <c r="N61" s="105">
        <f>825572.88-T61-Z61</f>
        <v>117522.24000000002</v>
      </c>
      <c r="O61" s="105">
        <f>184088.23-U61-AA61</f>
        <v>85767.75</v>
      </c>
      <c r="P61" s="105">
        <f>20942.28-W61-AB61</f>
        <v>14193.539999999999</v>
      </c>
      <c r="Q61" s="105">
        <f>20735-W61-AC61</f>
        <v>7185</v>
      </c>
      <c r="R61" s="105">
        <f>216098.98-X61</f>
        <v>197856.13</v>
      </c>
      <c r="S61" s="133">
        <f t="shared" si="53"/>
        <v>671993.59</v>
      </c>
      <c r="T61" s="105">
        <v>574614.1</v>
      </c>
      <c r="U61" s="105">
        <v>70168.33</v>
      </c>
      <c r="V61" s="105">
        <v>5368.31</v>
      </c>
      <c r="W61" s="105">
        <v>3600</v>
      </c>
      <c r="X61" s="105">
        <v>18242.849999999999</v>
      </c>
      <c r="Y61" s="133">
        <f t="shared" si="54"/>
        <v>174687.43</v>
      </c>
      <c r="Z61" s="105">
        <v>133436.54</v>
      </c>
      <c r="AA61" s="105">
        <v>28152.15</v>
      </c>
      <c r="AB61" s="105">
        <v>3148.74</v>
      </c>
      <c r="AC61" s="105">
        <v>9950</v>
      </c>
      <c r="AD61" s="105"/>
    </row>
    <row r="62" spans="1:30" x14ac:dyDescent="0.25">
      <c r="A62" s="137"/>
      <c r="B62" s="104" t="str">
        <f>IF(L!$A$1=1,L!B183,IF(L!$A$1=2,L!C183,L!D183))</f>
        <v>2019 Maj</v>
      </c>
      <c r="C62" s="133">
        <f t="shared" si="50"/>
        <v>1324144.8500000001</v>
      </c>
      <c r="D62" s="105">
        <f t="shared" si="55"/>
        <v>587179.25748999999</v>
      </c>
      <c r="E62" s="105">
        <f t="shared" si="56"/>
        <v>108203.85748999999</v>
      </c>
      <c r="F62" s="105">
        <v>25176.423500000001</v>
      </c>
      <c r="G62" s="105">
        <v>14788.43672</v>
      </c>
      <c r="H62" s="105">
        <v>1029.37871</v>
      </c>
      <c r="I62" s="106">
        <f>SUM(J62:K62)</f>
        <v>39702.245540000004</v>
      </c>
      <c r="J62" s="105">
        <v>31959.173699999999</v>
      </c>
      <c r="K62" s="105">
        <f>7742.36933+0.70251</f>
        <v>7743.0718400000005</v>
      </c>
      <c r="L62" s="105">
        <v>27507.373019999999</v>
      </c>
      <c r="M62" s="105">
        <f t="shared" si="52"/>
        <v>478975.39999999997</v>
      </c>
      <c r="N62" s="105">
        <f>826978.8-T62-Z62</f>
        <v>118188.69</v>
      </c>
      <c r="O62" s="105">
        <f>273566.74-U62-AA62</f>
        <v>199415.16999999998</v>
      </c>
      <c r="P62" s="105">
        <f>23167.6-V62-AB62</f>
        <v>8659.42</v>
      </c>
      <c r="Q62" s="105">
        <f>14335-W62-AC62</f>
        <v>1685</v>
      </c>
      <c r="R62" s="105">
        <f>186096.71-X62</f>
        <v>151027.12</v>
      </c>
      <c r="S62" s="133">
        <f t="shared" si="53"/>
        <v>685746.1</v>
      </c>
      <c r="T62" s="105">
        <v>578888.43000000005</v>
      </c>
      <c r="U62" s="105">
        <v>54002.12</v>
      </c>
      <c r="V62" s="105">
        <v>12185.96</v>
      </c>
      <c r="W62" s="105">
        <v>5600</v>
      </c>
      <c r="X62" s="105">
        <v>35069.589999999997</v>
      </c>
      <c r="Y62" s="133">
        <f t="shared" si="54"/>
        <v>159423.35</v>
      </c>
      <c r="Z62" s="105">
        <v>129901.68</v>
      </c>
      <c r="AA62" s="105">
        <f>23261.95-3112.5</f>
        <v>20149.45</v>
      </c>
      <c r="AB62" s="105">
        <v>2322.2199999999998</v>
      </c>
      <c r="AC62" s="105">
        <v>7050</v>
      </c>
      <c r="AD62" s="105"/>
    </row>
    <row r="63" spans="1:30" x14ac:dyDescent="0.25">
      <c r="A63" s="137"/>
      <c r="B63" s="104" t="str">
        <f>IF(L!$A$1=1,L!B184,IF(L!$A$1=2,L!C184,L!D184))</f>
        <v>2019 Qershor</v>
      </c>
      <c r="C63" s="133">
        <f t="shared" si="50"/>
        <v>1334793.81</v>
      </c>
      <c r="D63" s="105">
        <f>E63+M63</f>
        <v>554739.88578000001</v>
      </c>
      <c r="E63" s="105">
        <f>F63+G63+H63+I63+L63</f>
        <v>106702.39577999998</v>
      </c>
      <c r="F63" s="105">
        <v>25102.682019999993</v>
      </c>
      <c r="G63" s="105">
        <v>10844.51352</v>
      </c>
      <c r="H63" s="105">
        <v>772.52707000000009</v>
      </c>
      <c r="I63" s="106">
        <f>SUM(J63:K63)</f>
        <v>39202.052119999978</v>
      </c>
      <c r="J63" s="105">
        <v>32126.547020000002</v>
      </c>
      <c r="K63" s="105">
        <v>7075.5050999999803</v>
      </c>
      <c r="L63" s="105">
        <v>30780.621050000002</v>
      </c>
      <c r="M63" s="105">
        <f t="shared" si="52"/>
        <v>448037.49</v>
      </c>
      <c r="N63" s="105">
        <f>829696.85-T63-Z63</f>
        <v>117158.19</v>
      </c>
      <c r="O63" s="105">
        <f>150405.84-U63-AA63</f>
        <v>78198.95</v>
      </c>
      <c r="P63" s="105">
        <f>20082.02-V63-AB63</f>
        <v>13446.75</v>
      </c>
      <c r="Q63" s="105">
        <f>17505-W63-AC63</f>
        <v>3455</v>
      </c>
      <c r="R63" s="105">
        <f>317104.1-X63-AD63</f>
        <v>235778.59999999998</v>
      </c>
      <c r="S63" s="133">
        <f t="shared" si="53"/>
        <v>723277.68</v>
      </c>
      <c r="T63" s="105">
        <v>582433.59</v>
      </c>
      <c r="U63" s="105">
        <v>55017.41</v>
      </c>
      <c r="V63" s="105">
        <v>3501.18</v>
      </c>
      <c r="W63" s="105">
        <v>1000</v>
      </c>
      <c r="X63" s="105">
        <v>81325.5</v>
      </c>
      <c r="Y63" s="133">
        <f t="shared" si="54"/>
        <v>163478.64000000001</v>
      </c>
      <c r="Z63" s="105">
        <v>130105.07</v>
      </c>
      <c r="AA63" s="105">
        <v>17189.48</v>
      </c>
      <c r="AB63" s="105">
        <v>3134.09</v>
      </c>
      <c r="AC63" s="105">
        <v>13050</v>
      </c>
      <c r="AD63" s="105"/>
    </row>
    <row r="64" spans="1:30" x14ac:dyDescent="0.25">
      <c r="A64" s="137"/>
      <c r="B64" s="104" t="str">
        <f>IF(L!$A$1=1,L!B185,IF(L!$A$1=2,L!C185,L!D185))</f>
        <v>2019 Korrik</v>
      </c>
      <c r="C64" s="133">
        <f t="shared" si="50"/>
        <v>1393970.71</v>
      </c>
      <c r="D64" s="105">
        <f>E64+M64</f>
        <v>515574.62737999996</v>
      </c>
      <c r="E64" s="105">
        <f>F64+G64+H64+I64+L64</f>
        <v>109225.46738000003</v>
      </c>
      <c r="F64" s="105">
        <v>24978.209360000001</v>
      </c>
      <c r="G64" s="105">
        <v>11062.969240000006</v>
      </c>
      <c r="H64" s="105">
        <v>935.6237799999999</v>
      </c>
      <c r="I64" s="106">
        <f>SUM(J64:K64)</f>
        <v>45737.674990000021</v>
      </c>
      <c r="J64" s="105">
        <v>36228.048600000002</v>
      </c>
      <c r="K64" s="105">
        <v>9509.6263900000195</v>
      </c>
      <c r="L64" s="105">
        <v>26510.990009999994</v>
      </c>
      <c r="M64" s="105">
        <f>SUM(N64:R64)</f>
        <v>406349.15999999992</v>
      </c>
      <c r="N64" s="105">
        <f>822203.87-T64-Z64</f>
        <v>117113.04999999996</v>
      </c>
      <c r="O64" s="105">
        <f>209901.8-U64-AA64</f>
        <v>92199.969999999972</v>
      </c>
      <c r="P64" s="105">
        <f>16021.87-V64-AB64</f>
        <v>8970.5300000000007</v>
      </c>
      <c r="Q64" s="105">
        <f>66110-W64-AC64</f>
        <v>35670</v>
      </c>
      <c r="R64" s="105">
        <f>279733.17-X64-AD64</f>
        <v>152395.60999999996</v>
      </c>
      <c r="S64" s="133">
        <f>SUM(T64:X64)</f>
        <v>713696.13</v>
      </c>
      <c r="T64" s="105">
        <v>576738.91</v>
      </c>
      <c r="U64" s="105">
        <v>46164.89</v>
      </c>
      <c r="V64" s="105">
        <v>4717.37</v>
      </c>
      <c r="W64" s="105">
        <v>4840</v>
      </c>
      <c r="X64" s="105">
        <v>81234.960000000006</v>
      </c>
      <c r="Y64" s="133">
        <f>SUM(Z64:AD64)</f>
        <v>273925.42</v>
      </c>
      <c r="Z64" s="105">
        <v>128351.91</v>
      </c>
      <c r="AA64" s="105">
        <v>71536.94</v>
      </c>
      <c r="AB64" s="105">
        <v>2333.9699999999998</v>
      </c>
      <c r="AC64" s="105">
        <v>25600</v>
      </c>
      <c r="AD64" s="105">
        <v>46102.6</v>
      </c>
    </row>
    <row r="65" spans="1:30" x14ac:dyDescent="0.25">
      <c r="A65" s="137"/>
      <c r="B65" s="104" t="str">
        <f>IF(L!$A$1=1,L!B186,IF(L!$A$1=2,L!C186,L!D186))</f>
        <v>2019 Gusht</v>
      </c>
      <c r="C65" s="133">
        <f t="shared" si="50"/>
        <v>1445941.09</v>
      </c>
      <c r="D65" s="105">
        <f>E65+M65</f>
        <v>687705.59389999998</v>
      </c>
      <c r="E65" s="105">
        <f>F65+G65+H65+I65+L65</f>
        <v>106809.34389999999</v>
      </c>
      <c r="F65" s="105">
        <v>24661.182910000003</v>
      </c>
      <c r="G65" s="105">
        <v>11634.678899999999</v>
      </c>
      <c r="H65" s="105">
        <v>785.79655000000093</v>
      </c>
      <c r="I65" s="106">
        <f>SUM(J65:K65)</f>
        <v>36402.685249999995</v>
      </c>
      <c r="J65" s="105">
        <v>27800.572889999999</v>
      </c>
      <c r="K65" s="105">
        <v>8602.1123599999992</v>
      </c>
      <c r="L65" s="105">
        <v>33325.000289999996</v>
      </c>
      <c r="M65" s="105">
        <f>SUM(N65:R65)</f>
        <v>580896.25</v>
      </c>
      <c r="N65" s="105">
        <f>818856.55-T65-Z65</f>
        <v>127104.71000000002</v>
      </c>
      <c r="O65" s="105">
        <f>185515.73-U65-AA65</f>
        <v>141359.43000000002</v>
      </c>
      <c r="P65" s="105">
        <f>16589.35-V65-AB65</f>
        <v>11130.839999999998</v>
      </c>
      <c r="Q65" s="105">
        <f>24530-W65-AC65</f>
        <v>8580</v>
      </c>
      <c r="R65" s="105">
        <f>400449.46-X65-AD65</f>
        <v>292721.27</v>
      </c>
      <c r="S65" s="133">
        <f>SUM(T65:X65)</f>
        <v>698124.05</v>
      </c>
      <c r="T65" s="105">
        <v>571732.91</v>
      </c>
      <c r="U65" s="105">
        <v>34954.93</v>
      </c>
      <c r="V65" s="105">
        <v>3193.49</v>
      </c>
      <c r="W65" s="105">
        <v>11700</v>
      </c>
      <c r="X65" s="105">
        <v>76542.720000000001</v>
      </c>
      <c r="Y65" s="133">
        <f>SUM(Z65:AD65)</f>
        <v>166920.78999999998</v>
      </c>
      <c r="Z65" s="105">
        <v>120018.93</v>
      </c>
      <c r="AA65" s="105">
        <v>9201.3700000000008</v>
      </c>
      <c r="AB65" s="105">
        <v>2265.02</v>
      </c>
      <c r="AC65" s="105">
        <v>4250</v>
      </c>
      <c r="AD65" s="105">
        <v>31185.47</v>
      </c>
    </row>
    <row r="66" spans="1:30" x14ac:dyDescent="0.25">
      <c r="A66" s="137"/>
      <c r="B66" s="104" t="str">
        <f>IF(L!$A$1=1,L!B187,IF(L!$A$1=2,L!C187,L!D187))</f>
        <v>2019 Shtator</v>
      </c>
      <c r="C66" s="133">
        <f t="shared" si="50"/>
        <v>1460305.9600000002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>
        <f t="shared" ref="M66:M69" si="57">SUM(N66:R66)</f>
        <v>654384.9</v>
      </c>
      <c r="N66" s="105">
        <f>818525.29-T66-Z66</f>
        <v>117514.19</v>
      </c>
      <c r="O66" s="105">
        <f>167592.79-U66-AA66</f>
        <v>87872.050000000017</v>
      </c>
      <c r="P66" s="105">
        <f>24018.75-V66-AB66</f>
        <v>12366.31</v>
      </c>
      <c r="Q66" s="105">
        <f>6940-W66-AC66</f>
        <v>3090</v>
      </c>
      <c r="R66" s="105">
        <f>443229.13-X66-AD66</f>
        <v>433542.35</v>
      </c>
      <c r="S66" s="133">
        <f t="shared" ref="S66:S69" si="58">SUM(T66:X66)</f>
        <v>666723.78000000014</v>
      </c>
      <c r="T66" s="105">
        <v>577570.03</v>
      </c>
      <c r="U66" s="105">
        <v>69477.06</v>
      </c>
      <c r="V66" s="105">
        <v>8189.91</v>
      </c>
      <c r="W66" s="105">
        <v>1800</v>
      </c>
      <c r="X66" s="105">
        <v>9686.7800000000007</v>
      </c>
      <c r="Y66" s="133">
        <f t="shared" ref="Y66:Y69" si="59">SUM(Z66:AD66)</f>
        <v>139197.28</v>
      </c>
      <c r="Z66" s="105">
        <v>123441.07</v>
      </c>
      <c r="AA66" s="105">
        <f>10438.65-194.97</f>
        <v>10243.68</v>
      </c>
      <c r="AB66" s="105">
        <v>3462.53</v>
      </c>
      <c r="AC66" s="105">
        <v>2050</v>
      </c>
      <c r="AD66" s="105"/>
    </row>
    <row r="67" spans="1:30" x14ac:dyDescent="0.25">
      <c r="A67" s="138"/>
      <c r="B67" s="104" t="str">
        <f>IF(L!$A$1=1,L!B188,IF(L!$A$1=2,L!C188,L!D188))</f>
        <v>2019 Tetor</v>
      </c>
      <c r="C67" s="133">
        <f t="shared" si="50"/>
        <v>1512226.9400000002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>
        <f t="shared" si="57"/>
        <v>559437.93000000017</v>
      </c>
      <c r="N67" s="105">
        <f>888179.18-T67-Z67</f>
        <v>114805.87000000008</v>
      </c>
      <c r="O67" s="105">
        <f>254944.1-U67-AA67</f>
        <v>125776.20000000001</v>
      </c>
      <c r="P67" s="105">
        <f>22231.38-V67-AB67</f>
        <v>10260.070000000002</v>
      </c>
      <c r="Q67" s="105">
        <f>765-W67</f>
        <v>695</v>
      </c>
      <c r="R67" s="105">
        <f>346107.28-X67-AD67</f>
        <v>307900.79000000004</v>
      </c>
      <c r="S67" s="133">
        <f t="shared" si="58"/>
        <v>721312.35</v>
      </c>
      <c r="T67" s="105">
        <v>568114.6</v>
      </c>
      <c r="U67" s="105">
        <v>109321.27</v>
      </c>
      <c r="V67" s="105">
        <v>9576.3799999999992</v>
      </c>
      <c r="W67" s="105">
        <v>70</v>
      </c>
      <c r="X67" s="105">
        <v>34230.1</v>
      </c>
      <c r="Y67" s="133">
        <f t="shared" si="59"/>
        <v>231476.66</v>
      </c>
      <c r="Z67" s="105">
        <v>205258.71</v>
      </c>
      <c r="AA67" s="105">
        <v>19846.63</v>
      </c>
      <c r="AB67" s="105">
        <v>2394.9299999999998</v>
      </c>
      <c r="AC67" s="105"/>
      <c r="AD67" s="105">
        <v>3976.39</v>
      </c>
    </row>
    <row r="68" spans="1:30" x14ac:dyDescent="0.25">
      <c r="A68" s="138"/>
      <c r="B68" s="104" t="str">
        <f>IF(L!$A$1=1,L!B189,IF(L!$A$1=2,L!C189,L!D189))</f>
        <v xml:space="preserve">2019 Nëntor </v>
      </c>
      <c r="C68" s="133">
        <f t="shared" si="50"/>
        <v>1717795.86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>
        <f t="shared" si="57"/>
        <v>703845.70000000007</v>
      </c>
      <c r="N68" s="105">
        <f>830724.74-T68-Z68</f>
        <v>122475.88000000003</v>
      </c>
      <c r="O68" s="105">
        <f>317580.06-U68-AA68</f>
        <v>107852.24000000002</v>
      </c>
      <c r="P68" s="105">
        <f>27630.56-V68-AB68</f>
        <v>16145.480000000001</v>
      </c>
      <c r="Q68" s="105">
        <f>7130-AC68</f>
        <v>3880</v>
      </c>
      <c r="R68" s="105">
        <f>534730.5-X68-AD68</f>
        <v>453492.1</v>
      </c>
      <c r="S68" s="133">
        <f t="shared" si="58"/>
        <v>816658.12</v>
      </c>
      <c r="T68" s="105">
        <v>577035.84</v>
      </c>
      <c r="U68" s="105">
        <v>165762.85999999999</v>
      </c>
      <c r="V68" s="105">
        <v>8121.02</v>
      </c>
      <c r="W68" s="105"/>
      <c r="X68" s="105">
        <v>65738.399999999994</v>
      </c>
      <c r="Y68" s="133">
        <f t="shared" si="59"/>
        <v>197292.03999999998</v>
      </c>
      <c r="Z68" s="105">
        <v>131213.01999999999</v>
      </c>
      <c r="AA68" s="105">
        <v>43964.959999999999</v>
      </c>
      <c r="AB68" s="105">
        <v>3364.06</v>
      </c>
      <c r="AC68" s="105">
        <v>3250</v>
      </c>
      <c r="AD68" s="105">
        <v>15500</v>
      </c>
    </row>
    <row r="69" spans="1:30" x14ac:dyDescent="0.25">
      <c r="A69" s="138"/>
      <c r="B69" s="104" t="str">
        <f>IF(L!$A$1=1,L!B190,IF(L!$A$1=2,L!C190,L!D190))</f>
        <v>2019 Dhjetor</v>
      </c>
      <c r="C69" s="133">
        <f t="shared" si="50"/>
        <v>3376379.9000000004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>
        <f t="shared" si="57"/>
        <v>1905433.7800000003</v>
      </c>
      <c r="N69" s="105">
        <f>817116.48-T69-Z69</f>
        <v>119991.34000000001</v>
      </c>
      <c r="O69" s="105">
        <f>460095.65-U69-AA69</f>
        <v>214273.04000000004</v>
      </c>
      <c r="P69" s="105">
        <f>37013.15-V69-AB69</f>
        <v>18170.45</v>
      </c>
      <c r="Q69" s="105">
        <f>19487-AC69</f>
        <v>2187</v>
      </c>
      <c r="R69" s="105">
        <f>2042667.62-X69-AD69</f>
        <v>1550811.9500000002</v>
      </c>
      <c r="S69" s="133">
        <f t="shared" si="58"/>
        <v>1162502.81</v>
      </c>
      <c r="T69" s="105">
        <v>570161.85</v>
      </c>
      <c r="U69" s="105">
        <v>215021.47</v>
      </c>
      <c r="V69" s="105">
        <v>14399.76</v>
      </c>
      <c r="W69" s="105"/>
      <c r="X69" s="105">
        <v>362919.73</v>
      </c>
      <c r="Y69" s="133">
        <f t="shared" si="59"/>
        <v>308443.31</v>
      </c>
      <c r="Z69" s="105">
        <v>126963.29</v>
      </c>
      <c r="AA69" s="105">
        <v>30801.14</v>
      </c>
      <c r="AB69" s="105">
        <v>4442.9399999999996</v>
      </c>
      <c r="AC69" s="105">
        <v>17300</v>
      </c>
      <c r="AD69" s="105">
        <v>128935.94</v>
      </c>
    </row>
    <row r="70" spans="1:30" x14ac:dyDescent="0.25">
      <c r="A70" s="139"/>
      <c r="B70" s="125" t="str">
        <f>IF(L!$A$1=1,L!B191,IF(L!$A$1=2,L!C191,L!D191))</f>
        <v>Gjithsej 2019</v>
      </c>
      <c r="C70" s="124">
        <f t="shared" si="50"/>
        <v>17767651.860000003</v>
      </c>
      <c r="D70" s="124">
        <f>E70+M70</f>
        <v>7588819.1703600017</v>
      </c>
      <c r="E70" s="124">
        <f>F70+G70+H70+I70+L70</f>
        <v>786598.25035999995</v>
      </c>
      <c r="F70" s="124">
        <f t="shared" ref="F70:L70" si="60">SUM(F58:F69)</f>
        <v>199842.55405999999</v>
      </c>
      <c r="G70" s="124">
        <f t="shared" si="60"/>
        <v>89609.018400000001</v>
      </c>
      <c r="H70" s="124">
        <f t="shared" si="60"/>
        <v>9770.3237100000006</v>
      </c>
      <c r="I70" s="124">
        <f t="shared" si="60"/>
        <v>309270.71338999999</v>
      </c>
      <c r="J70" s="122">
        <f t="shared" si="60"/>
        <v>249135.98098000002</v>
      </c>
      <c r="K70" s="122">
        <f t="shared" si="60"/>
        <v>60134.732409999997</v>
      </c>
      <c r="L70" s="122">
        <f t="shared" si="60"/>
        <v>178105.64079999999</v>
      </c>
      <c r="M70" s="122">
        <f>SUM(N70:R70)</f>
        <v>6802220.9200000018</v>
      </c>
      <c r="N70" s="122">
        <f t="shared" ref="N70:R70" si="61">SUM(N58:N69)</f>
        <v>1426769.9700000004</v>
      </c>
      <c r="O70" s="122">
        <f t="shared" si="61"/>
        <v>1356751.62</v>
      </c>
      <c r="P70" s="122">
        <f t="shared" si="61"/>
        <v>149506.41000000003</v>
      </c>
      <c r="Q70" s="122">
        <f t="shared" si="61"/>
        <v>69907</v>
      </c>
      <c r="R70" s="122">
        <f t="shared" si="61"/>
        <v>3799285.9200000004</v>
      </c>
      <c r="S70" s="122">
        <f>SUM(T70:X70)</f>
        <v>8686631.6899999995</v>
      </c>
      <c r="T70" s="122">
        <f t="shared" ref="T70:X70" si="62">SUM(T58:T69)</f>
        <v>6883061.3599999994</v>
      </c>
      <c r="U70" s="122">
        <f t="shared" si="62"/>
        <v>914127.75</v>
      </c>
      <c r="V70" s="122">
        <f t="shared" si="62"/>
        <v>89341.95</v>
      </c>
      <c r="W70" s="122">
        <f t="shared" si="62"/>
        <v>35110</v>
      </c>
      <c r="X70" s="122">
        <f t="shared" si="62"/>
        <v>764990.63</v>
      </c>
      <c r="Y70" s="122">
        <f>SUM(Z70:AD70)</f>
        <v>2278799.2500000005</v>
      </c>
      <c r="Z70" s="122">
        <f t="shared" ref="Z70:AD70" si="63">SUM(Z58:Z69)</f>
        <v>1626436.0100000002</v>
      </c>
      <c r="AA70" s="122">
        <f t="shared" si="63"/>
        <v>296642.64</v>
      </c>
      <c r="AB70" s="122">
        <f t="shared" si="63"/>
        <v>38370.200000000004</v>
      </c>
      <c r="AC70" s="122">
        <f t="shared" si="63"/>
        <v>91650</v>
      </c>
      <c r="AD70" s="122">
        <f t="shared" si="63"/>
        <v>225700.40000000002</v>
      </c>
    </row>
    <row r="71" spans="1:30" x14ac:dyDescent="0.25">
      <c r="A71" s="137">
        <v>2020</v>
      </c>
      <c r="B71" s="104" t="str">
        <f>IF(L!$A$1=1,L!B192,IF(L!$A$1=2,L!C192,L!D192))</f>
        <v>2020 Janar</v>
      </c>
      <c r="C71" s="133">
        <f t="shared" ref="C71:C83" si="64">M71+S71+Y71</f>
        <v>937011.79</v>
      </c>
      <c r="D71" s="105">
        <f>E71+M71</f>
        <v>244717.23921000009</v>
      </c>
      <c r="E71" s="105">
        <f>F71+G71+H71+I71+L71</f>
        <v>57713.659209999998</v>
      </c>
      <c r="F71" s="105">
        <v>24846.235489999999</v>
      </c>
      <c r="G71" s="105">
        <v>1301.9379300000001</v>
      </c>
      <c r="H71" s="105">
        <v>469.39997</v>
      </c>
      <c r="I71" s="106">
        <f t="shared" ref="I71:I74" si="65">SUM(J71:K71)</f>
        <v>30409.931329999999</v>
      </c>
      <c r="J71" s="105">
        <v>27498.698</v>
      </c>
      <c r="K71" s="105">
        <v>2911.23333</v>
      </c>
      <c r="L71" s="105">
        <v>686.15449000000001</v>
      </c>
      <c r="M71" s="105">
        <f t="shared" ref="M71:M76" si="66">SUM(N71:R71)</f>
        <v>187003.58000000007</v>
      </c>
      <c r="N71" s="105">
        <f>813047.31-T71-Z71</f>
        <v>113587.71000000005</v>
      </c>
      <c r="O71" s="105">
        <f>105219.73-U71-AA71</f>
        <v>60908.479999999996</v>
      </c>
      <c r="P71" s="105">
        <f>18744.75-V71-AB71</f>
        <v>12507.39</v>
      </c>
      <c r="Q71" s="105"/>
      <c r="R71" s="105"/>
      <c r="S71" s="133">
        <f t="shared" ref="S71:S76" si="67">SUM(T71:X71)</f>
        <v>605919.5</v>
      </c>
      <c r="T71" s="105">
        <v>567853.13</v>
      </c>
      <c r="U71" s="105">
        <v>34726.14</v>
      </c>
      <c r="V71" s="105">
        <v>3340.23</v>
      </c>
      <c r="W71" s="105"/>
      <c r="X71" s="105"/>
      <c r="Y71" s="133">
        <f t="shared" ref="Y71:Y76" si="68">SUM(Z71:AD71)</f>
        <v>144088.71000000002</v>
      </c>
      <c r="Z71" s="105">
        <v>131606.47</v>
      </c>
      <c r="AA71" s="105">
        <v>9585.11</v>
      </c>
      <c r="AB71" s="105">
        <v>2897.13</v>
      </c>
      <c r="AC71" s="105"/>
      <c r="AD71" s="105"/>
    </row>
    <row r="72" spans="1:30" x14ac:dyDescent="0.25">
      <c r="A72" s="137"/>
      <c r="B72" s="104" t="str">
        <f>IF(L!$A$1=1,L!B193,IF(L!$A$1=2,L!C193,L!D193))</f>
        <v>2020 Shkurt</v>
      </c>
      <c r="C72" s="133">
        <f t="shared" si="64"/>
        <v>973431.99</v>
      </c>
      <c r="D72" s="105">
        <f t="shared" ref="D72:D75" si="69">E72+M72</f>
        <v>273520.32055999991</v>
      </c>
      <c r="E72" s="105">
        <f t="shared" ref="E72:E75" si="70">F72+G72+H72+I72+L72</f>
        <v>87018.600559999992</v>
      </c>
      <c r="F72" s="105">
        <v>25348.27275</v>
      </c>
      <c r="G72" s="105">
        <v>12435.78448</v>
      </c>
      <c r="H72" s="105">
        <v>2584.5733500000001</v>
      </c>
      <c r="I72" s="106">
        <f t="shared" si="65"/>
        <v>35523.365980000002</v>
      </c>
      <c r="J72" s="105">
        <v>29987.650020000001</v>
      </c>
      <c r="K72" s="105">
        <v>5535.7159600000005</v>
      </c>
      <c r="L72" s="105">
        <v>11126.603999999999</v>
      </c>
      <c r="M72" s="105">
        <f t="shared" si="66"/>
        <v>186501.71999999991</v>
      </c>
      <c r="N72" s="105">
        <f>810839.86-T72-Z72</f>
        <v>113149.42999999993</v>
      </c>
      <c r="O72" s="105">
        <f>127936.04-U72-AA72</f>
        <v>53155.34</v>
      </c>
      <c r="P72" s="105">
        <f>27746.19-V72-AB72</f>
        <v>14237.050000000001</v>
      </c>
      <c r="Q72" s="105"/>
      <c r="R72" s="105">
        <v>5959.9</v>
      </c>
      <c r="S72" s="133">
        <f t="shared" si="67"/>
        <v>634942.04</v>
      </c>
      <c r="T72" s="105">
        <v>565423.06000000006</v>
      </c>
      <c r="U72" s="105">
        <v>59378.51</v>
      </c>
      <c r="V72" s="105">
        <v>10140.469999999999</v>
      </c>
      <c r="W72" s="105"/>
      <c r="X72" s="105"/>
      <c r="Y72" s="133">
        <f t="shared" si="68"/>
        <v>151988.23000000001</v>
      </c>
      <c r="Z72" s="105">
        <v>132267.37</v>
      </c>
      <c r="AA72" s="105">
        <v>15402.19</v>
      </c>
      <c r="AB72" s="105">
        <v>3368.67</v>
      </c>
      <c r="AC72" s="105">
        <v>950</v>
      </c>
      <c r="AD72" s="105"/>
    </row>
    <row r="73" spans="1:30" x14ac:dyDescent="0.25">
      <c r="A73" s="137"/>
      <c r="B73" s="104" t="str">
        <f>IF(L!$A$1=1,L!B194,IF(L!$A$1=2,L!C194,L!D194))</f>
        <v xml:space="preserve">2020 Mars </v>
      </c>
      <c r="C73" s="133">
        <f t="shared" si="64"/>
        <v>1118385.3900000001</v>
      </c>
      <c r="D73" s="105">
        <f t="shared" si="69"/>
        <v>445895.35101999994</v>
      </c>
      <c r="E73" s="105">
        <f t="shared" si="70"/>
        <v>110996.73102000001</v>
      </c>
      <c r="F73" s="105">
        <v>24671.084579999999</v>
      </c>
      <c r="G73" s="105">
        <f>13602.18788+3.63797880709171E-12</f>
        <v>13602.187880000003</v>
      </c>
      <c r="H73" s="105">
        <v>1470.13113</v>
      </c>
      <c r="I73" s="106">
        <f t="shared" si="65"/>
        <v>41293.796000000002</v>
      </c>
      <c r="J73" s="105">
        <v>31926.155299999999</v>
      </c>
      <c r="K73" s="105">
        <v>9367.6406999999999</v>
      </c>
      <c r="L73" s="105">
        <v>29959.531429999999</v>
      </c>
      <c r="M73" s="105">
        <f t="shared" si="66"/>
        <v>334898.61999999994</v>
      </c>
      <c r="N73" s="105">
        <f>838622.32-T73-Z73</f>
        <v>145051.9499999999</v>
      </c>
      <c r="O73" s="105">
        <f>227497.92-U73-AA73</f>
        <v>146520.09</v>
      </c>
      <c r="P73" s="105">
        <f>24475.66-V73-AB73</f>
        <v>15537.089999999998</v>
      </c>
      <c r="Q73" s="105"/>
      <c r="R73" s="105">
        <v>27789.49</v>
      </c>
      <c r="S73" s="133">
        <f t="shared" si="67"/>
        <v>623348.39000000013</v>
      </c>
      <c r="T73" s="105">
        <v>562953.80000000005</v>
      </c>
      <c r="U73" s="105">
        <v>54747.8</v>
      </c>
      <c r="V73" s="105">
        <v>5646.79</v>
      </c>
      <c r="W73" s="105"/>
      <c r="X73" s="105"/>
      <c r="Y73" s="133">
        <f t="shared" si="68"/>
        <v>160138.38</v>
      </c>
      <c r="Z73" s="105">
        <v>130616.57</v>
      </c>
      <c r="AA73" s="105">
        <v>26230.03</v>
      </c>
      <c r="AB73" s="105">
        <v>3291.78</v>
      </c>
      <c r="AC73" s="105"/>
      <c r="AD73" s="105"/>
    </row>
    <row r="74" spans="1:30" x14ac:dyDescent="0.25">
      <c r="A74" s="137"/>
      <c r="B74" s="104" t="str">
        <f>IF(L!$A$1=1,L!B195,IF(L!$A$1=2,L!C195,L!D195))</f>
        <v>2020 Prill</v>
      </c>
      <c r="C74" s="133">
        <f t="shared" si="64"/>
        <v>1324252.3699999999</v>
      </c>
      <c r="D74" s="105">
        <f t="shared" si="69"/>
        <v>507675.02501999994</v>
      </c>
      <c r="E74" s="105">
        <f t="shared" si="70"/>
        <v>99928.195020000014</v>
      </c>
      <c r="F74" s="105">
        <v>25058.463449999999</v>
      </c>
      <c r="G74" s="105">
        <v>13938.50973</v>
      </c>
      <c r="H74" s="105">
        <v>1722.8931499999999</v>
      </c>
      <c r="I74" s="106">
        <f t="shared" si="65"/>
        <v>40998.962180000002</v>
      </c>
      <c r="J74" s="105">
        <v>31609.135450000002</v>
      </c>
      <c r="K74" s="105">
        <f>9389.82673</f>
        <v>9389.8267300000007</v>
      </c>
      <c r="L74" s="105">
        <v>18209.36651</v>
      </c>
      <c r="M74" s="105">
        <f t="shared" si="66"/>
        <v>407746.82999999996</v>
      </c>
      <c r="N74" s="105">
        <f>893674.44-T74-Z74</f>
        <v>124458.11999999997</v>
      </c>
      <c r="O74" s="105">
        <f>205406.44-U74-AA74</f>
        <v>134477</v>
      </c>
      <c r="P74" s="105">
        <f>22570.34-V74-AB74</f>
        <v>11210.56</v>
      </c>
      <c r="Q74" s="105">
        <v>900</v>
      </c>
      <c r="R74" s="105">
        <f>201701.15-AD74</f>
        <v>136701.15</v>
      </c>
      <c r="S74" s="133">
        <f t="shared" si="67"/>
        <v>624286.44999999995</v>
      </c>
      <c r="T74" s="105">
        <v>578159.61</v>
      </c>
      <c r="U74" s="105">
        <v>37424.839999999997</v>
      </c>
      <c r="V74" s="105">
        <v>8702</v>
      </c>
      <c r="W74" s="105"/>
      <c r="X74" s="105"/>
      <c r="Y74" s="133">
        <f t="shared" si="68"/>
        <v>292219.08999999997</v>
      </c>
      <c r="Z74" s="105">
        <v>191056.71</v>
      </c>
      <c r="AA74" s="105">
        <v>33504.6</v>
      </c>
      <c r="AB74" s="105">
        <v>2657.78</v>
      </c>
      <c r="AC74" s="105"/>
      <c r="AD74" s="105">
        <v>65000</v>
      </c>
    </row>
    <row r="75" spans="1:30" x14ac:dyDescent="0.25">
      <c r="A75" s="137"/>
      <c r="B75" s="104" t="str">
        <f>IF(L!$A$1=1,L!B196,IF(L!$A$1=2,L!C196,L!D196))</f>
        <v>2020 Maj</v>
      </c>
      <c r="C75" s="133">
        <f t="shared" si="64"/>
        <v>2039951.4799999997</v>
      </c>
      <c r="D75" s="105">
        <f t="shared" si="69"/>
        <v>892935.13748999976</v>
      </c>
      <c r="E75" s="105">
        <f t="shared" si="70"/>
        <v>108203.85748999999</v>
      </c>
      <c r="F75" s="105">
        <v>25176.423500000001</v>
      </c>
      <c r="G75" s="105">
        <v>14788.43672</v>
      </c>
      <c r="H75" s="105">
        <v>1029.37871</v>
      </c>
      <c r="I75" s="106">
        <f>SUM(J75:K75)</f>
        <v>39702.245540000004</v>
      </c>
      <c r="J75" s="105">
        <v>31959.173699999999</v>
      </c>
      <c r="K75" s="105">
        <f>7742.36933+0.70251</f>
        <v>7743.0718400000005</v>
      </c>
      <c r="L75" s="105">
        <v>27507.373019999999</v>
      </c>
      <c r="M75" s="105">
        <f t="shared" si="66"/>
        <v>784731.2799999998</v>
      </c>
      <c r="N75" s="105">
        <f>890605.71-T75-Z75</f>
        <v>134114.20999999993</v>
      </c>
      <c r="O75" s="105">
        <f>151562.15-U75-AA75</f>
        <v>105224.42</v>
      </c>
      <c r="P75" s="105">
        <f>11435.78-V75-AB75</f>
        <v>8629.61</v>
      </c>
      <c r="Q75" s="105">
        <v>500</v>
      </c>
      <c r="R75" s="105">
        <f>984847.84-X75-AD75</f>
        <v>536263.03999999992</v>
      </c>
      <c r="S75" s="133">
        <f t="shared" si="67"/>
        <v>812840.4800000001</v>
      </c>
      <c r="T75" s="105">
        <v>567072.66</v>
      </c>
      <c r="U75" s="105">
        <v>32691</v>
      </c>
      <c r="V75" s="105">
        <v>401.3</v>
      </c>
      <c r="W75" s="105">
        <v>1000</v>
      </c>
      <c r="X75" s="105">
        <v>211675.51999999999</v>
      </c>
      <c r="Y75" s="133">
        <f t="shared" si="68"/>
        <v>442379.72</v>
      </c>
      <c r="Z75" s="105">
        <v>189418.84</v>
      </c>
      <c r="AA75" s="105">
        <v>13646.73</v>
      </c>
      <c r="AB75" s="105">
        <v>2404.87</v>
      </c>
      <c r="AC75" s="105"/>
      <c r="AD75" s="105">
        <v>236909.28</v>
      </c>
    </row>
    <row r="76" spans="1:30" x14ac:dyDescent="0.25">
      <c r="A76" s="137"/>
      <c r="B76" s="104" t="str">
        <f>IF(L!$A$1=1,L!B197,IF(L!$A$1=2,L!C197,L!D197))</f>
        <v>2020 Qershor</v>
      </c>
      <c r="C76" s="133">
        <f t="shared" si="64"/>
        <v>1416218.1199999999</v>
      </c>
      <c r="D76" s="105">
        <f>E76+M76</f>
        <v>608598.66577999992</v>
      </c>
      <c r="E76" s="105">
        <f>F76+G76+H76+I76+L76</f>
        <v>106702.39577999998</v>
      </c>
      <c r="F76" s="105">
        <v>25102.682019999993</v>
      </c>
      <c r="G76" s="105">
        <v>10844.51352</v>
      </c>
      <c r="H76" s="105">
        <v>772.52707000000009</v>
      </c>
      <c r="I76" s="106">
        <f>SUM(J76:K76)</f>
        <v>39202.052119999978</v>
      </c>
      <c r="J76" s="105">
        <v>32126.547020000002</v>
      </c>
      <c r="K76" s="105">
        <v>7075.5050999999803</v>
      </c>
      <c r="L76" s="105">
        <v>30780.621050000002</v>
      </c>
      <c r="M76" s="105">
        <f t="shared" si="66"/>
        <v>501896.26999999996</v>
      </c>
      <c r="N76" s="105">
        <f>818694.32-T76-Z76</f>
        <v>143899.91999999998</v>
      </c>
      <c r="O76" s="105">
        <f>142168.52-U76-AA76</f>
        <v>93360.409999999974</v>
      </c>
      <c r="P76" s="105">
        <f>18450.91-V76-AB76</f>
        <v>9726.5399999999991</v>
      </c>
      <c r="Q76" s="105">
        <f>3315-AC76</f>
        <v>3015</v>
      </c>
      <c r="R76" s="105">
        <f>433589.37-X76</f>
        <v>251894.39999999999</v>
      </c>
      <c r="S76" s="133">
        <f t="shared" si="67"/>
        <v>766129.16999999993</v>
      </c>
      <c r="T76" s="105">
        <v>536927.1</v>
      </c>
      <c r="U76" s="105">
        <v>38782.730000000003</v>
      </c>
      <c r="V76" s="105">
        <v>8724.3700000000008</v>
      </c>
      <c r="W76" s="105"/>
      <c r="X76" s="105">
        <v>181694.97</v>
      </c>
      <c r="Y76" s="133">
        <f t="shared" si="68"/>
        <v>148192.68</v>
      </c>
      <c r="Z76" s="105">
        <v>137867.29999999999</v>
      </c>
      <c r="AA76" s="105">
        <v>10025.379999999999</v>
      </c>
      <c r="AB76" s="105"/>
      <c r="AC76" s="105">
        <v>300</v>
      </c>
      <c r="AD76" s="105"/>
    </row>
    <row r="77" spans="1:30" s="134" customFormat="1" x14ac:dyDescent="0.25">
      <c r="A77" s="137"/>
      <c r="B77" s="104" t="str">
        <f>IF(L!$A$1=1,L!B198,IF(L!$A$1=2,L!C198,L!D198))</f>
        <v>2020 Korrik</v>
      </c>
      <c r="C77" s="133">
        <f t="shared" si="64"/>
        <v>1317904.79</v>
      </c>
      <c r="D77" s="105">
        <f>E77+M77</f>
        <v>502904.54738000012</v>
      </c>
      <c r="E77" s="105">
        <f>F77+G77+H77+I77+L77</f>
        <v>109225.46738000003</v>
      </c>
      <c r="F77" s="105">
        <v>24978.209360000001</v>
      </c>
      <c r="G77" s="105">
        <v>11062.969240000006</v>
      </c>
      <c r="H77" s="105">
        <v>935.6237799999999</v>
      </c>
      <c r="I77" s="106">
        <f>SUM(J77:K77)</f>
        <v>45737.674990000021</v>
      </c>
      <c r="J77" s="105">
        <v>36228.048600000002</v>
      </c>
      <c r="K77" s="105">
        <v>9509.6263900000195</v>
      </c>
      <c r="L77" s="105">
        <v>26510.990009999994</v>
      </c>
      <c r="M77" s="105">
        <f>SUM(N77:R77)</f>
        <v>393679.08000000007</v>
      </c>
      <c r="N77" s="105">
        <f>804292.01-T77-Z77</f>
        <v>114865.27999999998</v>
      </c>
      <c r="O77" s="105">
        <f>171115.75-U77-AA77</f>
        <v>118912.53000000001</v>
      </c>
      <c r="P77" s="105">
        <f>9336.16-AB77</f>
        <v>7086.9699999999993</v>
      </c>
      <c r="Q77" s="105">
        <f>66313.8-W77-AC77</f>
        <v>47405</v>
      </c>
      <c r="R77" s="105">
        <f>266847.07-X77-AD77</f>
        <v>105409.30000000002</v>
      </c>
      <c r="S77" s="133">
        <f>SUM(T77:X77)</f>
        <v>653796.29</v>
      </c>
      <c r="T77" s="105">
        <v>560902.53</v>
      </c>
      <c r="U77" s="105">
        <v>35032.019999999997</v>
      </c>
      <c r="V77" s="105"/>
      <c r="W77" s="105">
        <v>6700</v>
      </c>
      <c r="X77" s="105">
        <v>51161.74</v>
      </c>
      <c r="Y77" s="133">
        <f>SUM(Z77:AD77)</f>
        <v>270429.42</v>
      </c>
      <c r="Z77" s="105">
        <v>128524.2</v>
      </c>
      <c r="AA77" s="105">
        <v>17171.2</v>
      </c>
      <c r="AB77" s="105">
        <v>2249.19</v>
      </c>
      <c r="AC77" s="105">
        <v>12208.8</v>
      </c>
      <c r="AD77" s="105">
        <v>110276.03</v>
      </c>
    </row>
    <row r="78" spans="1:30" x14ac:dyDescent="0.25">
      <c r="A78" s="137"/>
      <c r="B78" s="104" t="str">
        <f>IF(L!$A$1=1,L!B199,IF(L!$A$1=2,L!C199,L!D199))</f>
        <v>2020 Gusht</v>
      </c>
      <c r="C78" s="133">
        <f t="shared" si="64"/>
        <v>1421374.23</v>
      </c>
      <c r="D78" s="105">
        <f>E78+M78</f>
        <v>389668.43390000006</v>
      </c>
      <c r="E78" s="105">
        <f>F78+G78+H78+I78+L78</f>
        <v>106809.34389999999</v>
      </c>
      <c r="F78" s="105">
        <v>24661.182910000003</v>
      </c>
      <c r="G78" s="105">
        <v>11634.678899999999</v>
      </c>
      <c r="H78" s="105">
        <v>785.79655000000093</v>
      </c>
      <c r="I78" s="106">
        <f>SUM(J78:K78)</f>
        <v>36402.685249999995</v>
      </c>
      <c r="J78" s="105">
        <v>27800.572889999999</v>
      </c>
      <c r="K78" s="105">
        <v>8602.1123599999992</v>
      </c>
      <c r="L78" s="105">
        <v>33325.000289999996</v>
      </c>
      <c r="M78" s="105">
        <f>SUM(N78:R78)</f>
        <v>282859.09000000008</v>
      </c>
      <c r="N78" s="105">
        <f>905401.29-T78-Z78</f>
        <v>113695.94000000009</v>
      </c>
      <c r="O78" s="105">
        <f>269407.7-U78-AA78</f>
        <v>90650.06</v>
      </c>
      <c r="P78" s="105">
        <f>20270.07-V78-AB78</f>
        <v>12349.519999999999</v>
      </c>
      <c r="Q78" s="105">
        <f>13240-W78-AC78</f>
        <v>3230</v>
      </c>
      <c r="R78" s="105">
        <f>213055.17-X78</f>
        <v>62933.570000000007</v>
      </c>
      <c r="S78" s="133">
        <f>SUM(T78:X78)</f>
        <v>800059.47</v>
      </c>
      <c r="T78" s="105">
        <v>562365.32999999996</v>
      </c>
      <c r="U78" s="105">
        <v>79173.64</v>
      </c>
      <c r="V78" s="105">
        <v>2488.9</v>
      </c>
      <c r="W78" s="105">
        <v>5910</v>
      </c>
      <c r="X78" s="105">
        <v>150121.60000000001</v>
      </c>
      <c r="Y78" s="133">
        <f>SUM(Z78:AD78)</f>
        <v>338455.67000000004</v>
      </c>
      <c r="Z78" s="105">
        <v>229340.02</v>
      </c>
      <c r="AA78" s="105">
        <v>99584</v>
      </c>
      <c r="AB78" s="105">
        <v>5431.65</v>
      </c>
      <c r="AC78" s="105">
        <v>4100</v>
      </c>
      <c r="AD78" s="105"/>
    </row>
    <row r="79" spans="1:30" x14ac:dyDescent="0.25">
      <c r="A79" s="137"/>
      <c r="B79" s="104" t="str">
        <f>IF(L!$A$1=1,L!B200,IF(L!$A$1=2,L!C200,L!D200))</f>
        <v>2020 Shtator</v>
      </c>
      <c r="C79" s="133">
        <f t="shared" si="64"/>
        <v>1810156.7899999998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>
        <f t="shared" ref="M79:M82" si="71">SUM(N79:R79)</f>
        <v>479304.0799999999</v>
      </c>
      <c r="N79" s="105">
        <f>815348.24-T79-Z79</f>
        <v>107051.56999999998</v>
      </c>
      <c r="O79" s="105">
        <f>667103.95-U79-AA79</f>
        <v>152729.70999999993</v>
      </c>
      <c r="P79" s="105">
        <f>14234-V79-AB79</f>
        <v>9498.5199999999986</v>
      </c>
      <c r="Q79" s="105">
        <f>21685-W79-AC79</f>
        <v>1395</v>
      </c>
      <c r="R79" s="105">
        <f>291785.6-X79-AD79</f>
        <v>208629.27999999997</v>
      </c>
      <c r="S79" s="133">
        <f t="shared" ref="S79:S82" si="72">SUM(T79:X79)</f>
        <v>1157486.49</v>
      </c>
      <c r="T79" s="105">
        <v>579425.02</v>
      </c>
      <c r="U79" s="105">
        <v>495217.45</v>
      </c>
      <c r="V79" s="105">
        <v>1942.2</v>
      </c>
      <c r="W79" s="105">
        <v>16090</v>
      </c>
      <c r="X79" s="105">
        <v>64811.82</v>
      </c>
      <c r="Y79" s="133">
        <f t="shared" ref="Y79:Y82" si="73">SUM(Z79:AD79)</f>
        <v>173366.22</v>
      </c>
      <c r="Z79" s="105">
        <v>128871.65</v>
      </c>
      <c r="AA79" s="105">
        <v>19156.79</v>
      </c>
      <c r="AB79" s="105">
        <v>2793.28</v>
      </c>
      <c r="AC79" s="105">
        <v>4200</v>
      </c>
      <c r="AD79" s="105">
        <v>18344.5</v>
      </c>
    </row>
    <row r="80" spans="1:30" x14ac:dyDescent="0.25">
      <c r="A80" s="138"/>
      <c r="B80" s="104" t="str">
        <f>IF(L!$A$1=1,L!B201,IF(L!$A$1=2,L!C201,L!D201))</f>
        <v>2020 Tetor</v>
      </c>
      <c r="C80" s="133">
        <f t="shared" si="64"/>
        <v>1630865.32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>
        <f t="shared" si="71"/>
        <v>769785.25</v>
      </c>
      <c r="N80" s="105">
        <f>811598.49-T80-Z80</f>
        <v>111362.59999999996</v>
      </c>
      <c r="O80" s="105">
        <f>240509.66-U80-AA80</f>
        <v>196827.79</v>
      </c>
      <c r="P80" s="105">
        <f>20286.94-V80-AB80</f>
        <v>11045.8</v>
      </c>
      <c r="Q80" s="105">
        <f>49190-W80-AC80</f>
        <v>8850</v>
      </c>
      <c r="R80" s="105">
        <f>509280.23-X80</f>
        <v>441699.06</v>
      </c>
      <c r="S80" s="133">
        <f t="shared" si="72"/>
        <v>663351.08000000007</v>
      </c>
      <c r="T80" s="105">
        <v>573237.65</v>
      </c>
      <c r="U80" s="105">
        <v>14582.27</v>
      </c>
      <c r="V80" s="105">
        <v>7059.99</v>
      </c>
      <c r="W80" s="105">
        <v>890</v>
      </c>
      <c r="X80" s="105">
        <v>67581.17</v>
      </c>
      <c r="Y80" s="133">
        <f t="shared" si="73"/>
        <v>197728.99</v>
      </c>
      <c r="Z80" s="105">
        <v>126998.24</v>
      </c>
      <c r="AA80" s="105">
        <v>29099.599999999999</v>
      </c>
      <c r="AB80" s="105">
        <v>2181.15</v>
      </c>
      <c r="AC80" s="105">
        <v>39450</v>
      </c>
      <c r="AD80" s="105"/>
    </row>
    <row r="81" spans="1:30" x14ac:dyDescent="0.25">
      <c r="A81" s="138"/>
      <c r="B81" s="104" t="str">
        <f>IF(L!$A$1=1,L!B202,IF(L!$A$1=2,L!C202,L!D202))</f>
        <v xml:space="preserve">2020 Nëntor </v>
      </c>
      <c r="C81" s="133">
        <f t="shared" si="64"/>
        <v>2140831.12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>
        <f t="shared" si="71"/>
        <v>787982.7300000001</v>
      </c>
      <c r="N81" s="105">
        <f>1021333.14-T81-Z81</f>
        <v>147362.45000000007</v>
      </c>
      <c r="O81" s="105">
        <f>333634.64-U81-AA81</f>
        <v>110603.96000000002</v>
      </c>
      <c r="P81" s="105">
        <f>18374.7-V81-AB81</f>
        <v>13385.140000000001</v>
      </c>
      <c r="Q81" s="105">
        <f>248378.58-W81-AC81</f>
        <v>138598.57999999999</v>
      </c>
      <c r="R81" s="105">
        <f>519110.06-X81-AD81</f>
        <v>378032.6</v>
      </c>
      <c r="S81" s="133">
        <f t="shared" si="72"/>
        <v>873929.39</v>
      </c>
      <c r="T81" s="105">
        <v>580422.19999999995</v>
      </c>
      <c r="U81" s="105">
        <v>192905.31</v>
      </c>
      <c r="V81" s="105">
        <v>2774.42</v>
      </c>
      <c r="W81" s="105">
        <v>7900</v>
      </c>
      <c r="X81" s="105">
        <v>89927.46</v>
      </c>
      <c r="Y81" s="133">
        <f t="shared" si="73"/>
        <v>478919</v>
      </c>
      <c r="Z81" s="105">
        <v>293548.49</v>
      </c>
      <c r="AA81" s="105">
        <v>30125.37</v>
      </c>
      <c r="AB81" s="105">
        <v>2215.14</v>
      </c>
      <c r="AC81" s="105">
        <v>101880</v>
      </c>
      <c r="AD81" s="105">
        <v>51150</v>
      </c>
    </row>
    <row r="82" spans="1:30" x14ac:dyDescent="0.25">
      <c r="A82" s="138"/>
      <c r="B82" s="104" t="str">
        <f>IF(L!$A$1=1,L!B203,IF(L!$A$1=2,L!C203,L!D203))</f>
        <v>2020 Dhjetor</v>
      </c>
      <c r="C82" s="133">
        <f t="shared" si="64"/>
        <v>2822287.15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>
        <f t="shared" si="71"/>
        <v>1622104.5799999998</v>
      </c>
      <c r="N82" s="105">
        <f>889550.27-T82-Z82</f>
        <v>110424.06999999998</v>
      </c>
      <c r="O82" s="105">
        <f>576009.99-U82-AA82</f>
        <v>380632.57999999996</v>
      </c>
      <c r="P82" s="105">
        <f>33696.29-V82-AB82</f>
        <v>16076.1</v>
      </c>
      <c r="Q82" s="105">
        <f>285826.69-W82-AC82</f>
        <v>238717.09000000003</v>
      </c>
      <c r="R82" s="105">
        <f>1037203.91-X82-AD82</f>
        <v>876254.74</v>
      </c>
      <c r="S82" s="133">
        <f t="shared" si="72"/>
        <v>793313.76000000013</v>
      </c>
      <c r="T82" s="105">
        <v>594623.05000000005</v>
      </c>
      <c r="U82" s="105">
        <v>135671.14000000001</v>
      </c>
      <c r="V82" s="105">
        <v>16168.29</v>
      </c>
      <c r="W82" s="105">
        <v>7709.6</v>
      </c>
      <c r="X82" s="105">
        <v>39141.68</v>
      </c>
      <c r="Y82" s="133">
        <f t="shared" si="73"/>
        <v>406868.80999999994</v>
      </c>
      <c r="Z82" s="105">
        <f>184503.15</f>
        <v>184503.15</v>
      </c>
      <c r="AA82" s="105">
        <v>59706.27</v>
      </c>
      <c r="AB82" s="105">
        <v>1451.9</v>
      </c>
      <c r="AC82" s="105">
        <v>39400</v>
      </c>
      <c r="AD82" s="105">
        <v>121807.49</v>
      </c>
    </row>
    <row r="83" spans="1:30" x14ac:dyDescent="0.25">
      <c r="A83" s="139"/>
      <c r="B83" s="125" t="str">
        <f>IF(L!$A$1=1,L!B204,IF(L!$A$1=2,L!C204,L!D204))</f>
        <v>Gjithsej 2020</v>
      </c>
      <c r="C83" s="124">
        <f t="shared" si="64"/>
        <v>18952670.539999999</v>
      </c>
      <c r="D83" s="124">
        <f>E83+M83</f>
        <v>7525091.3603600003</v>
      </c>
      <c r="E83" s="124">
        <f>F83+G83+H83+I83+L83</f>
        <v>786598.25035999995</v>
      </c>
      <c r="F83" s="124">
        <f t="shared" ref="F83:L83" si="74">SUM(F71:F82)</f>
        <v>199842.55405999999</v>
      </c>
      <c r="G83" s="124">
        <f t="shared" si="74"/>
        <v>89609.018400000001</v>
      </c>
      <c r="H83" s="124">
        <f t="shared" si="74"/>
        <v>9770.3237100000006</v>
      </c>
      <c r="I83" s="124">
        <f t="shared" si="74"/>
        <v>309270.71338999999</v>
      </c>
      <c r="J83" s="122">
        <f t="shared" si="74"/>
        <v>249135.98098000002</v>
      </c>
      <c r="K83" s="122">
        <f t="shared" si="74"/>
        <v>60134.732409999997</v>
      </c>
      <c r="L83" s="122">
        <f t="shared" si="74"/>
        <v>178105.64079999999</v>
      </c>
      <c r="M83" s="122">
        <f>SUM(N83:R83)</f>
        <v>6738493.1100000003</v>
      </c>
      <c r="N83" s="122">
        <f t="shared" ref="N83:R83" si="75">SUM(N71:N82)</f>
        <v>1479023.2499999998</v>
      </c>
      <c r="O83" s="122">
        <f t="shared" si="75"/>
        <v>1644002.37</v>
      </c>
      <c r="P83" s="122">
        <f t="shared" si="75"/>
        <v>141290.29</v>
      </c>
      <c r="Q83" s="122">
        <f t="shared" si="75"/>
        <v>442610.67000000004</v>
      </c>
      <c r="R83" s="122">
        <f t="shared" si="75"/>
        <v>3031566.5300000003</v>
      </c>
      <c r="S83" s="122">
        <f>SUM(T83:X83)</f>
        <v>9009402.5099999998</v>
      </c>
      <c r="T83" s="122">
        <f t="shared" ref="T83:X83" si="76">SUM(T71:T82)</f>
        <v>6829365.1400000006</v>
      </c>
      <c r="U83" s="122">
        <f t="shared" si="76"/>
        <v>1210332.8500000001</v>
      </c>
      <c r="V83" s="122">
        <f t="shared" si="76"/>
        <v>67388.959999999992</v>
      </c>
      <c r="W83" s="122">
        <f t="shared" si="76"/>
        <v>46199.6</v>
      </c>
      <c r="X83" s="122">
        <f t="shared" si="76"/>
        <v>856115.96</v>
      </c>
      <c r="Y83" s="122">
        <f>SUM(Z83:AD83)</f>
        <v>3204774.92</v>
      </c>
      <c r="Z83" s="122">
        <f t="shared" ref="Z83:AD83" si="77">SUM(Z71:Z82)</f>
        <v>2004619.0099999998</v>
      </c>
      <c r="AA83" s="122">
        <f t="shared" si="77"/>
        <v>363237.27</v>
      </c>
      <c r="AB83" s="122">
        <f t="shared" si="77"/>
        <v>30942.54</v>
      </c>
      <c r="AC83" s="122">
        <f t="shared" si="77"/>
        <v>202488.8</v>
      </c>
      <c r="AD83" s="122">
        <f t="shared" si="77"/>
        <v>603487.30000000005</v>
      </c>
    </row>
  </sheetData>
  <mergeCells count="12">
    <mergeCell ref="A71:A83"/>
    <mergeCell ref="D1:D2"/>
    <mergeCell ref="B3:B5"/>
    <mergeCell ref="A3:A5"/>
    <mergeCell ref="A58:A70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33"/>
  <sheetViews>
    <sheetView zoomScale="80" zoomScaleNormal="80" zoomScaleSheetLayoutView="70" workbookViewId="0">
      <pane xSplit="2" ySplit="3" topLeftCell="C46" activePane="bottomRight" state="frozen"/>
      <selection pane="topRight" activeCell="C1" sqref="C1"/>
      <selection pane="bottomLeft" activeCell="A9" sqref="A9"/>
      <selection pane="bottomRight" activeCell="AC58" sqref="AC58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9.140625" style="3" customWidth="1"/>
    <col min="18" max="18" width="17.5703125" style="81" customWidth="1"/>
    <col min="19" max="25" width="9.140625" style="3"/>
    <col min="26" max="16384" width="9.140625" style="1"/>
  </cols>
  <sheetData>
    <row r="1" spans="1:25" s="3" customFormat="1" ht="26.25" customHeight="1" x14ac:dyDescent="0.25">
      <c r="A1" s="19" t="str">
        <f>IF(L!$A$1=1,L!G6,IF(L!$A$1=2,L!G16,L!G26))</f>
        <v>Tabela 2: Pranimet</v>
      </c>
      <c r="B1" s="19"/>
      <c r="D1" s="148" t="s">
        <v>609</v>
      </c>
      <c r="G1" s="4"/>
      <c r="H1" s="4"/>
      <c r="I1" s="4"/>
      <c r="J1" s="4"/>
      <c r="K1" s="4"/>
      <c r="R1" s="81"/>
    </row>
    <row r="2" spans="1:25" s="3" customFormat="1" ht="17.25" customHeight="1" x14ac:dyDescent="0.25">
      <c r="A2" s="82" t="s">
        <v>876</v>
      </c>
      <c r="B2" s="83"/>
      <c r="C2" s="16"/>
      <c r="D2" s="149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  <c r="R2" s="81"/>
    </row>
    <row r="3" spans="1:25" s="2" customFormat="1" ht="41.25" customHeight="1" x14ac:dyDescent="0.25">
      <c r="A3" s="84" t="str">
        <f>IF(L!$A$1=1,L!G8,IF(L!$A$1=2,L!G18,L!G28))</f>
        <v>Viti</v>
      </c>
      <c r="B3" s="84" t="str">
        <f>IF(L!$A$1=1,L!H8,IF(L!$A$1=2,L!H18,L!H28))</f>
        <v>Viti / Muaji</v>
      </c>
      <c r="C3" s="85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6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6" t="s">
        <v>870</v>
      </c>
      <c r="K3" s="87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131"/>
      <c r="S3" s="4"/>
      <c r="T3" s="4"/>
      <c r="U3" s="4"/>
      <c r="V3" s="4"/>
      <c r="W3" s="4"/>
      <c r="X3" s="4"/>
      <c r="Y3" s="4"/>
    </row>
    <row r="4" spans="1:25" x14ac:dyDescent="0.25">
      <c r="A4" s="150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5" x14ac:dyDescent="0.25">
      <c r="A5" s="151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5" x14ac:dyDescent="0.25">
      <c r="A6" s="151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5" x14ac:dyDescent="0.25">
      <c r="A7" s="151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5" x14ac:dyDescent="0.25">
      <c r="A8" s="151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5" x14ac:dyDescent="0.25">
      <c r="A9" s="151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5" x14ac:dyDescent="0.25">
      <c r="A10" s="151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5" x14ac:dyDescent="0.25">
      <c r="A11" s="151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5" x14ac:dyDescent="0.25">
      <c r="A12" s="151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5" x14ac:dyDescent="0.25">
      <c r="A13" s="151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5" x14ac:dyDescent="0.25">
      <c r="A14" s="151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5" x14ac:dyDescent="0.25">
      <c r="A15" s="151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5" x14ac:dyDescent="0.25">
      <c r="A16" s="152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8" x14ac:dyDescent="0.25">
      <c r="A17" s="145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8" x14ac:dyDescent="0.25">
      <c r="A18" s="146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8" x14ac:dyDescent="0.25">
      <c r="A19" s="146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8" x14ac:dyDescent="0.25">
      <c r="A20" s="146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  <c r="R20" s="81">
        <f>88076.95-C30</f>
        <v>0</v>
      </c>
    </row>
    <row r="21" spans="1:18" x14ac:dyDescent="0.25">
      <c r="A21" s="146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8" x14ac:dyDescent="0.25">
      <c r="A22" s="146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8" x14ac:dyDescent="0.25">
      <c r="A23" s="146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8" x14ac:dyDescent="0.25">
      <c r="A24" s="146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8" x14ac:dyDescent="0.25">
      <c r="A25" s="146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8" x14ac:dyDescent="0.25">
      <c r="A26" s="146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8" x14ac:dyDescent="0.25">
      <c r="A27" s="146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8" x14ac:dyDescent="0.25">
      <c r="A28" s="146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8" x14ac:dyDescent="0.25">
      <c r="A29" s="147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8" s="3" customFormat="1" x14ac:dyDescent="0.25">
      <c r="A30" s="145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  <c r="R30" s="81"/>
    </row>
    <row r="31" spans="1:18" s="3" customFormat="1" x14ac:dyDescent="0.25">
      <c r="A31" s="146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  <c r="R31" s="81"/>
    </row>
    <row r="32" spans="1:18" s="3" customFormat="1" x14ac:dyDescent="0.25">
      <c r="A32" s="146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  <c r="R32" s="81"/>
    </row>
    <row r="33" spans="1:18" s="3" customFormat="1" x14ac:dyDescent="0.25">
      <c r="A33" s="146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  <c r="R33" s="81"/>
    </row>
    <row r="34" spans="1:18" s="3" customFormat="1" x14ac:dyDescent="0.25">
      <c r="A34" s="146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  <c r="R34" s="81"/>
    </row>
    <row r="35" spans="1:18" s="3" customFormat="1" x14ac:dyDescent="0.25">
      <c r="A35" s="146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  <c r="R35" s="81"/>
    </row>
    <row r="36" spans="1:18" s="3" customFormat="1" x14ac:dyDescent="0.25">
      <c r="A36" s="146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  <c r="R36" s="81"/>
    </row>
    <row r="37" spans="1:18" s="3" customFormat="1" x14ac:dyDescent="0.25">
      <c r="A37" s="146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  <c r="R37" s="81"/>
    </row>
    <row r="38" spans="1:18" s="3" customFormat="1" x14ac:dyDescent="0.25">
      <c r="A38" s="146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  <c r="R38" s="81"/>
    </row>
    <row r="39" spans="1:18" s="3" customFormat="1" x14ac:dyDescent="0.25">
      <c r="A39" s="146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  <c r="R39" s="81"/>
    </row>
    <row r="40" spans="1:18" s="3" customFormat="1" x14ac:dyDescent="0.25">
      <c r="A40" s="146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  <c r="R40" s="81"/>
    </row>
    <row r="41" spans="1:18" s="3" customFormat="1" x14ac:dyDescent="0.25">
      <c r="A41" s="146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  <c r="R41" s="81"/>
    </row>
    <row r="42" spans="1:18" s="3" customFormat="1" x14ac:dyDescent="0.25">
      <c r="A42" s="147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  <c r="R42" s="81"/>
    </row>
    <row r="43" spans="1:18" s="3" customFormat="1" x14ac:dyDescent="0.25">
      <c r="A43" s="145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  <c r="R43" s="81"/>
    </row>
    <row r="44" spans="1:18" s="3" customFormat="1" x14ac:dyDescent="0.25">
      <c r="A44" s="146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  <c r="R44" s="81"/>
    </row>
    <row r="45" spans="1:18" s="3" customFormat="1" x14ac:dyDescent="0.25">
      <c r="A45" s="146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  <c r="R45" s="81"/>
    </row>
    <row r="46" spans="1:18" s="3" customFormat="1" x14ac:dyDescent="0.25">
      <c r="A46" s="146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  <c r="R46" s="81"/>
    </row>
    <row r="47" spans="1:18" s="3" customFormat="1" x14ac:dyDescent="0.25">
      <c r="A47" s="146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  <c r="R47" s="81"/>
    </row>
    <row r="48" spans="1:18" s="3" customFormat="1" x14ac:dyDescent="0.25">
      <c r="A48" s="146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  <c r="R48" s="81"/>
    </row>
    <row r="49" spans="1:18" s="3" customFormat="1" x14ac:dyDescent="0.25">
      <c r="A49" s="146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  <c r="R49" s="81"/>
    </row>
    <row r="50" spans="1:18" s="3" customFormat="1" x14ac:dyDescent="0.25">
      <c r="A50" s="146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  <c r="R50" s="81"/>
    </row>
    <row r="51" spans="1:18" s="3" customFormat="1" x14ac:dyDescent="0.25">
      <c r="A51" s="146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  <c r="R51" s="81"/>
    </row>
    <row r="52" spans="1:18" s="3" customFormat="1" x14ac:dyDescent="0.25">
      <c r="A52" s="146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  <c r="R52" s="81"/>
    </row>
    <row r="53" spans="1:18" s="3" customFormat="1" x14ac:dyDescent="0.25">
      <c r="A53" s="146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  <c r="R53" s="81"/>
    </row>
    <row r="54" spans="1:18" s="3" customFormat="1" x14ac:dyDescent="0.25">
      <c r="A54" s="146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  <c r="R54" s="81"/>
    </row>
    <row r="55" spans="1:18" s="3" customFormat="1" x14ac:dyDescent="0.25">
      <c r="A55" s="147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  <c r="R55" s="81"/>
    </row>
    <row r="56" spans="1:18" s="3" customFormat="1" x14ac:dyDescent="0.25">
      <c r="A56" s="144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  <c r="R56" s="81"/>
    </row>
    <row r="57" spans="1:18" s="3" customFormat="1" x14ac:dyDescent="0.25">
      <c r="A57" s="144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  <c r="R57" s="81"/>
    </row>
    <row r="58" spans="1:18" s="3" customFormat="1" x14ac:dyDescent="0.25">
      <c r="A58" s="144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  <c r="R58" s="81"/>
    </row>
    <row r="59" spans="1:18" s="3" customFormat="1" x14ac:dyDescent="0.25">
      <c r="A59" s="144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  <c r="R59" s="81"/>
    </row>
    <row r="60" spans="1:18" s="3" customFormat="1" x14ac:dyDescent="0.25">
      <c r="A60" s="144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  <c r="R60" s="81"/>
    </row>
    <row r="61" spans="1:18" s="3" customFormat="1" x14ac:dyDescent="0.25">
      <c r="A61" s="144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  <c r="R61" s="81"/>
    </row>
    <row r="62" spans="1:18" s="3" customFormat="1" x14ac:dyDescent="0.25">
      <c r="A62" s="144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  <c r="R62" s="81"/>
    </row>
    <row r="63" spans="1:18" s="3" customFormat="1" x14ac:dyDescent="0.25">
      <c r="A63" s="144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  <c r="R63" s="81"/>
    </row>
    <row r="64" spans="1:18" s="3" customFormat="1" x14ac:dyDescent="0.25">
      <c r="A64" s="144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  <c r="R64" s="81"/>
    </row>
    <row r="65" spans="1:18" s="3" customFormat="1" x14ac:dyDescent="0.25">
      <c r="A65" s="144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  <c r="R65" s="81"/>
    </row>
    <row r="66" spans="1:18" s="3" customFormat="1" x14ac:dyDescent="0.25">
      <c r="A66" s="144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  <c r="R66" s="81"/>
    </row>
    <row r="67" spans="1:18" s="3" customFormat="1" x14ac:dyDescent="0.25">
      <c r="A67" s="144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  <c r="R67" s="81"/>
    </row>
    <row r="68" spans="1:18" s="3" customFormat="1" x14ac:dyDescent="0.25">
      <c r="A68" s="144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  <c r="R68" s="81"/>
    </row>
    <row r="69" spans="1:18" s="3" customFormat="1" x14ac:dyDescent="0.25">
      <c r="A69" s="144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  <c r="R69" s="81">
        <f>219267.05-C69</f>
        <v>0</v>
      </c>
    </row>
    <row r="70" spans="1:18" s="3" customFormat="1" x14ac:dyDescent="0.25">
      <c r="A70" s="144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  <c r="R70" s="81">
        <f>138396.35-C70</f>
        <v>0</v>
      </c>
    </row>
    <row r="71" spans="1:18" s="3" customFormat="1" x14ac:dyDescent="0.25">
      <c r="A71" s="144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  <c r="R71" s="81">
        <f>88825.09-C71</f>
        <v>0</v>
      </c>
    </row>
    <row r="72" spans="1:18" s="3" customFormat="1" x14ac:dyDescent="0.25">
      <c r="A72" s="144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  <c r="R72" s="81">
        <f>7867.69-C72</f>
        <v>0</v>
      </c>
    </row>
    <row r="73" spans="1:18" s="3" customFormat="1" x14ac:dyDescent="0.25">
      <c r="A73" s="144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  <c r="R73" s="81"/>
    </row>
    <row r="74" spans="1:18" s="3" customFormat="1" x14ac:dyDescent="0.25">
      <c r="A74" s="144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  <c r="R74" s="81"/>
    </row>
    <row r="75" spans="1:18" s="3" customFormat="1" x14ac:dyDescent="0.25">
      <c r="A75" s="144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  <c r="R75" s="81"/>
    </row>
    <row r="76" spans="1:18" s="3" customFormat="1" x14ac:dyDescent="0.25">
      <c r="A76" s="144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  <c r="R76" s="81"/>
    </row>
    <row r="77" spans="1:18" s="3" customFormat="1" x14ac:dyDescent="0.25">
      <c r="A77" s="144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  <c r="R77" s="81"/>
    </row>
    <row r="78" spans="1:18" s="3" customFormat="1" x14ac:dyDescent="0.25">
      <c r="A78" s="144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  <c r="R78" s="81"/>
    </row>
    <row r="79" spans="1:18" s="3" customFormat="1" x14ac:dyDescent="0.25">
      <c r="A79" s="144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  <c r="R79" s="81"/>
    </row>
    <row r="80" spans="1:18" s="3" customFormat="1" x14ac:dyDescent="0.25">
      <c r="A80" s="144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81"/>
    </row>
    <row r="81" spans="1:18" s="3" customFormat="1" x14ac:dyDescent="0.25">
      <c r="A81" s="144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  <c r="R81" s="81"/>
    </row>
    <row r="82" spans="1:18" s="3" customFormat="1" x14ac:dyDescent="0.25">
      <c r="G82" s="4"/>
      <c r="H82" s="4"/>
      <c r="I82" s="4"/>
      <c r="J82" s="4"/>
      <c r="K82" s="4"/>
      <c r="R82" s="81"/>
    </row>
    <row r="83" spans="1:18" s="3" customFormat="1" x14ac:dyDescent="0.25">
      <c r="G83" s="4"/>
      <c r="H83" s="4"/>
      <c r="I83" s="4"/>
      <c r="J83" s="4"/>
      <c r="K83" s="4"/>
      <c r="R83" s="81"/>
    </row>
    <row r="84" spans="1:18" s="3" customFormat="1" x14ac:dyDescent="0.25">
      <c r="G84" s="4"/>
      <c r="H84" s="4"/>
      <c r="I84" s="4"/>
      <c r="J84" s="4"/>
      <c r="K84" s="4"/>
      <c r="R84" s="81"/>
    </row>
    <row r="85" spans="1:18" s="3" customFormat="1" x14ac:dyDescent="0.25">
      <c r="G85" s="4"/>
      <c r="H85" s="4"/>
      <c r="I85" s="4"/>
      <c r="J85" s="4"/>
      <c r="K85" s="4"/>
      <c r="R85" s="81"/>
    </row>
    <row r="86" spans="1:18" s="3" customFormat="1" x14ac:dyDescent="0.25">
      <c r="G86" s="4"/>
      <c r="H86" s="4"/>
      <c r="I86" s="4"/>
      <c r="J86" s="4"/>
      <c r="K86" s="4"/>
      <c r="R86" s="81"/>
    </row>
    <row r="87" spans="1:18" s="3" customFormat="1" x14ac:dyDescent="0.25">
      <c r="G87" s="4"/>
      <c r="H87" s="4"/>
      <c r="I87" s="4"/>
      <c r="J87" s="4"/>
      <c r="K87" s="4"/>
      <c r="R87" s="81"/>
    </row>
    <row r="88" spans="1:18" s="3" customFormat="1" x14ac:dyDescent="0.25">
      <c r="G88" s="4"/>
      <c r="H88" s="4"/>
      <c r="I88" s="4"/>
      <c r="J88" s="4"/>
      <c r="K88" s="4"/>
      <c r="R88" s="81"/>
    </row>
    <row r="89" spans="1:18" s="3" customFormat="1" x14ac:dyDescent="0.25">
      <c r="G89" s="4"/>
      <c r="H89" s="4"/>
      <c r="I89" s="4"/>
      <c r="J89" s="4"/>
      <c r="K89" s="4"/>
      <c r="R89" s="81"/>
    </row>
    <row r="90" spans="1:18" s="3" customFormat="1" x14ac:dyDescent="0.25">
      <c r="G90" s="4"/>
      <c r="H90" s="4"/>
      <c r="I90" s="4"/>
      <c r="J90" s="4"/>
      <c r="K90" s="4"/>
      <c r="R90" s="81"/>
    </row>
    <row r="91" spans="1:18" s="3" customFormat="1" x14ac:dyDescent="0.25">
      <c r="G91" s="4"/>
      <c r="H91" s="4"/>
      <c r="I91" s="4"/>
      <c r="J91" s="4"/>
      <c r="K91" s="4"/>
      <c r="R91" s="81"/>
    </row>
    <row r="92" spans="1:18" s="3" customFormat="1" x14ac:dyDescent="0.25">
      <c r="G92" s="4"/>
      <c r="H92" s="4"/>
      <c r="I92" s="4"/>
      <c r="J92" s="4"/>
      <c r="K92" s="4"/>
      <c r="R92" s="81"/>
    </row>
    <row r="93" spans="1:18" s="3" customFormat="1" x14ac:dyDescent="0.25">
      <c r="G93" s="4"/>
      <c r="H93" s="4"/>
      <c r="I93" s="4"/>
      <c r="J93" s="4"/>
      <c r="K93" s="4"/>
      <c r="R93" s="81"/>
    </row>
    <row r="94" spans="1:18" s="3" customFormat="1" x14ac:dyDescent="0.25">
      <c r="G94" s="4"/>
      <c r="H94" s="4"/>
      <c r="I94" s="4"/>
      <c r="J94" s="4"/>
      <c r="K94" s="4"/>
      <c r="R94" s="81"/>
    </row>
    <row r="95" spans="1:18" s="3" customFormat="1" x14ac:dyDescent="0.25">
      <c r="G95" s="4"/>
      <c r="H95" s="4"/>
      <c r="I95" s="4"/>
      <c r="J95" s="4"/>
      <c r="K95" s="4"/>
      <c r="R95" s="81"/>
    </row>
    <row r="96" spans="1:18" s="3" customFormat="1" x14ac:dyDescent="0.25">
      <c r="G96" s="4"/>
      <c r="H96" s="4"/>
      <c r="I96" s="4"/>
      <c r="J96" s="4"/>
      <c r="K96" s="4"/>
      <c r="R96" s="81"/>
    </row>
    <row r="97" spans="7:18" s="3" customFormat="1" x14ac:dyDescent="0.25">
      <c r="G97" s="4"/>
      <c r="H97" s="4"/>
      <c r="I97" s="4"/>
      <c r="J97" s="4"/>
      <c r="K97" s="4"/>
      <c r="R97" s="81"/>
    </row>
    <row r="98" spans="7:18" s="3" customFormat="1" x14ac:dyDescent="0.25">
      <c r="G98" s="4"/>
      <c r="H98" s="4"/>
      <c r="I98" s="4"/>
      <c r="J98" s="4"/>
      <c r="K98" s="4"/>
      <c r="R98" s="81"/>
    </row>
    <row r="99" spans="7:18" s="3" customFormat="1" x14ac:dyDescent="0.25">
      <c r="G99" s="4"/>
      <c r="H99" s="4"/>
      <c r="I99" s="4"/>
      <c r="J99" s="4"/>
      <c r="K99" s="4"/>
      <c r="R99" s="81"/>
    </row>
    <row r="100" spans="7:18" s="3" customFormat="1" x14ac:dyDescent="0.25">
      <c r="G100" s="4"/>
      <c r="H100" s="4"/>
      <c r="I100" s="4"/>
      <c r="J100" s="4"/>
      <c r="K100" s="4"/>
      <c r="R100" s="81"/>
    </row>
    <row r="101" spans="7:18" s="3" customFormat="1" x14ac:dyDescent="0.25">
      <c r="G101" s="4"/>
      <c r="H101" s="4"/>
      <c r="I101" s="4"/>
      <c r="J101" s="4"/>
      <c r="K101" s="4"/>
      <c r="R101" s="81"/>
    </row>
    <row r="102" spans="7:18" s="3" customFormat="1" x14ac:dyDescent="0.25">
      <c r="G102" s="4"/>
      <c r="H102" s="4"/>
      <c r="I102" s="4"/>
      <c r="J102" s="4"/>
      <c r="K102" s="4"/>
      <c r="R102" s="81"/>
    </row>
    <row r="103" spans="7:18" s="3" customFormat="1" x14ac:dyDescent="0.25">
      <c r="G103" s="4"/>
      <c r="H103" s="4"/>
      <c r="I103" s="4"/>
      <c r="J103" s="4"/>
      <c r="K103" s="4"/>
      <c r="R103" s="81"/>
    </row>
    <row r="104" spans="7:18" s="3" customFormat="1" x14ac:dyDescent="0.25">
      <c r="G104" s="4"/>
      <c r="H104" s="4"/>
      <c r="I104" s="4"/>
      <c r="J104" s="4"/>
      <c r="K104" s="4"/>
      <c r="R104" s="81"/>
    </row>
    <row r="105" spans="7:18" s="3" customFormat="1" x14ac:dyDescent="0.25">
      <c r="G105" s="4"/>
      <c r="H105" s="4"/>
      <c r="I105" s="4"/>
      <c r="J105" s="4"/>
      <c r="K105" s="4"/>
      <c r="R105" s="81"/>
    </row>
    <row r="106" spans="7:18" s="3" customFormat="1" x14ac:dyDescent="0.25">
      <c r="G106" s="4"/>
      <c r="H106" s="4"/>
      <c r="I106" s="4"/>
      <c r="J106" s="4"/>
      <c r="K106" s="4"/>
      <c r="R106" s="81"/>
    </row>
    <row r="107" spans="7:18" s="3" customFormat="1" x14ac:dyDescent="0.25">
      <c r="G107" s="4"/>
      <c r="H107" s="4"/>
      <c r="I107" s="4"/>
      <c r="J107" s="4"/>
      <c r="K107" s="4"/>
      <c r="R107" s="81"/>
    </row>
    <row r="108" spans="7:18" s="3" customFormat="1" x14ac:dyDescent="0.25">
      <c r="G108" s="4"/>
      <c r="H108" s="4"/>
      <c r="I108" s="4"/>
      <c r="J108" s="4"/>
      <c r="K108" s="4"/>
      <c r="R108" s="81"/>
    </row>
    <row r="109" spans="7:18" s="3" customFormat="1" x14ac:dyDescent="0.25">
      <c r="G109" s="4"/>
      <c r="H109" s="4"/>
      <c r="I109" s="4"/>
      <c r="J109" s="4"/>
      <c r="K109" s="4"/>
      <c r="R109" s="81"/>
    </row>
    <row r="110" spans="7:18" s="3" customFormat="1" x14ac:dyDescent="0.25">
      <c r="G110" s="4"/>
      <c r="H110" s="4"/>
      <c r="I110" s="4"/>
      <c r="J110" s="4"/>
      <c r="K110" s="4"/>
      <c r="R110" s="81"/>
    </row>
    <row r="111" spans="7:18" s="3" customFormat="1" x14ac:dyDescent="0.25">
      <c r="G111" s="4"/>
      <c r="H111" s="4"/>
      <c r="I111" s="4"/>
      <c r="J111" s="4"/>
      <c r="K111" s="4"/>
      <c r="R111" s="81"/>
    </row>
    <row r="112" spans="7:18" s="3" customFormat="1" x14ac:dyDescent="0.25">
      <c r="G112" s="4"/>
      <c r="H112" s="4"/>
      <c r="I112" s="4"/>
      <c r="J112" s="4"/>
      <c r="K112" s="4"/>
      <c r="R112" s="81"/>
    </row>
    <row r="113" spans="7:18" s="3" customFormat="1" x14ac:dyDescent="0.25">
      <c r="G113" s="4"/>
      <c r="H113" s="4"/>
      <c r="I113" s="4"/>
      <c r="J113" s="4"/>
      <c r="K113" s="4"/>
      <c r="R113" s="81"/>
    </row>
    <row r="114" spans="7:18" s="3" customFormat="1" x14ac:dyDescent="0.25">
      <c r="G114" s="4"/>
      <c r="H114" s="4"/>
      <c r="I114" s="4"/>
      <c r="J114" s="4"/>
      <c r="K114" s="4"/>
      <c r="R114" s="81"/>
    </row>
    <row r="115" spans="7:18" s="3" customFormat="1" x14ac:dyDescent="0.25">
      <c r="G115" s="4"/>
      <c r="H115" s="4"/>
      <c r="I115" s="4"/>
      <c r="J115" s="4"/>
      <c r="K115" s="4"/>
      <c r="R115" s="81"/>
    </row>
    <row r="116" spans="7:18" s="3" customFormat="1" x14ac:dyDescent="0.25">
      <c r="G116" s="4"/>
      <c r="H116" s="4"/>
      <c r="I116" s="4"/>
      <c r="J116" s="4"/>
      <c r="K116" s="4"/>
      <c r="R116" s="81"/>
    </row>
    <row r="117" spans="7:18" s="3" customFormat="1" x14ac:dyDescent="0.25">
      <c r="G117" s="4"/>
      <c r="H117" s="4"/>
      <c r="I117" s="4"/>
      <c r="J117" s="4"/>
      <c r="K117" s="4"/>
      <c r="R117" s="81"/>
    </row>
    <row r="118" spans="7:18" s="3" customFormat="1" x14ac:dyDescent="0.25">
      <c r="G118" s="4"/>
      <c r="H118" s="4"/>
      <c r="I118" s="4"/>
      <c r="J118" s="4"/>
      <c r="K118" s="4"/>
      <c r="R118" s="81"/>
    </row>
    <row r="119" spans="7:18" s="3" customFormat="1" x14ac:dyDescent="0.25">
      <c r="G119" s="4"/>
      <c r="H119" s="4"/>
      <c r="I119" s="4"/>
      <c r="J119" s="4"/>
      <c r="K119" s="4"/>
      <c r="R119" s="81"/>
    </row>
    <row r="120" spans="7:18" s="3" customFormat="1" x14ac:dyDescent="0.25">
      <c r="G120" s="4"/>
      <c r="H120" s="4"/>
      <c r="I120" s="4"/>
      <c r="J120" s="4"/>
      <c r="K120" s="4"/>
      <c r="R120" s="81"/>
    </row>
    <row r="121" spans="7:18" s="3" customFormat="1" x14ac:dyDescent="0.25">
      <c r="G121" s="4"/>
      <c r="H121" s="4"/>
      <c r="I121" s="4"/>
      <c r="J121" s="4"/>
      <c r="K121" s="4"/>
      <c r="R121" s="81"/>
    </row>
    <row r="122" spans="7:18" s="3" customFormat="1" x14ac:dyDescent="0.25">
      <c r="G122" s="4"/>
      <c r="H122" s="4"/>
      <c r="I122" s="4"/>
      <c r="J122" s="4"/>
      <c r="K122" s="4"/>
      <c r="R122" s="81"/>
    </row>
    <row r="123" spans="7:18" s="3" customFormat="1" x14ac:dyDescent="0.25">
      <c r="G123" s="4"/>
      <c r="H123" s="4"/>
      <c r="I123" s="4"/>
      <c r="J123" s="4"/>
      <c r="K123" s="4"/>
      <c r="R123" s="81"/>
    </row>
    <row r="124" spans="7:18" s="3" customFormat="1" x14ac:dyDescent="0.25">
      <c r="G124" s="4"/>
      <c r="H124" s="4"/>
      <c r="I124" s="4"/>
      <c r="J124" s="4"/>
      <c r="K124" s="4"/>
      <c r="R124" s="81"/>
    </row>
    <row r="125" spans="7:18" s="3" customFormat="1" x14ac:dyDescent="0.25">
      <c r="G125" s="4"/>
      <c r="H125" s="4"/>
      <c r="I125" s="4"/>
      <c r="J125" s="4"/>
      <c r="K125" s="4"/>
      <c r="R125" s="81"/>
    </row>
    <row r="126" spans="7:18" s="3" customFormat="1" x14ac:dyDescent="0.25">
      <c r="G126" s="4"/>
      <c r="H126" s="4"/>
      <c r="I126" s="4"/>
      <c r="J126" s="4"/>
      <c r="K126" s="4"/>
      <c r="R126" s="81"/>
    </row>
    <row r="127" spans="7:18" s="3" customFormat="1" x14ac:dyDescent="0.25">
      <c r="G127" s="4"/>
      <c r="H127" s="4"/>
      <c r="I127" s="4"/>
      <c r="J127" s="4"/>
      <c r="K127" s="4"/>
      <c r="R127" s="81"/>
    </row>
    <row r="128" spans="7:18" s="3" customFormat="1" x14ac:dyDescent="0.25">
      <c r="G128" s="4"/>
      <c r="H128" s="4"/>
      <c r="I128" s="4"/>
      <c r="J128" s="4"/>
      <c r="K128" s="4"/>
      <c r="R128" s="81"/>
    </row>
    <row r="129" spans="7:18" s="3" customFormat="1" x14ac:dyDescent="0.25">
      <c r="G129" s="4"/>
      <c r="H129" s="4"/>
      <c r="I129" s="4"/>
      <c r="J129" s="4"/>
      <c r="K129" s="4"/>
      <c r="R129" s="81"/>
    </row>
    <row r="130" spans="7:18" s="3" customFormat="1" x14ac:dyDescent="0.25">
      <c r="G130" s="4"/>
      <c r="H130" s="4"/>
      <c r="I130" s="4"/>
      <c r="J130" s="4"/>
      <c r="K130" s="4"/>
      <c r="R130" s="81"/>
    </row>
    <row r="131" spans="7:18" s="3" customFormat="1" x14ac:dyDescent="0.25">
      <c r="G131" s="4"/>
      <c r="H131" s="4"/>
      <c r="I131" s="4"/>
      <c r="J131" s="4"/>
      <c r="K131" s="4"/>
      <c r="R131" s="81"/>
    </row>
    <row r="132" spans="7:18" s="3" customFormat="1" x14ac:dyDescent="0.25">
      <c r="G132" s="4"/>
      <c r="H132" s="4"/>
      <c r="I132" s="4"/>
      <c r="J132" s="4"/>
      <c r="K132" s="4"/>
      <c r="R132" s="81"/>
    </row>
    <row r="133" spans="7:18" s="3" customFormat="1" x14ac:dyDescent="0.25">
      <c r="G133" s="4"/>
      <c r="H133" s="4"/>
      <c r="I133" s="4"/>
      <c r="J133" s="4"/>
      <c r="K133" s="4"/>
      <c r="R133" s="81"/>
    </row>
    <row r="134" spans="7:18" s="3" customFormat="1" x14ac:dyDescent="0.25">
      <c r="G134" s="4"/>
      <c r="H134" s="4"/>
      <c r="I134" s="4"/>
      <c r="J134" s="4"/>
      <c r="K134" s="4"/>
      <c r="R134" s="81"/>
    </row>
    <row r="135" spans="7:18" s="3" customFormat="1" x14ac:dyDescent="0.25">
      <c r="G135" s="4"/>
      <c r="H135" s="4"/>
      <c r="I135" s="4"/>
      <c r="J135" s="4"/>
      <c r="K135" s="4"/>
      <c r="R135" s="81"/>
    </row>
    <row r="136" spans="7:18" s="3" customFormat="1" x14ac:dyDescent="0.25">
      <c r="G136" s="4"/>
      <c r="H136" s="4"/>
      <c r="I136" s="4"/>
      <c r="J136" s="4"/>
      <c r="K136" s="4"/>
      <c r="R136" s="81"/>
    </row>
    <row r="137" spans="7:18" s="3" customFormat="1" x14ac:dyDescent="0.25">
      <c r="G137" s="4"/>
      <c r="H137" s="4"/>
      <c r="I137" s="4"/>
      <c r="J137" s="4"/>
      <c r="K137" s="4"/>
      <c r="R137" s="81"/>
    </row>
    <row r="138" spans="7:18" s="3" customFormat="1" x14ac:dyDescent="0.25">
      <c r="G138" s="4"/>
      <c r="H138" s="4"/>
      <c r="I138" s="4"/>
      <c r="J138" s="4"/>
      <c r="K138" s="4"/>
      <c r="R138" s="81"/>
    </row>
    <row r="139" spans="7:18" s="3" customFormat="1" x14ac:dyDescent="0.25">
      <c r="G139" s="4"/>
      <c r="H139" s="4"/>
      <c r="I139" s="4"/>
      <c r="J139" s="4"/>
      <c r="K139" s="4"/>
      <c r="R139" s="81"/>
    </row>
    <row r="140" spans="7:18" s="3" customFormat="1" x14ac:dyDescent="0.25">
      <c r="G140" s="4"/>
      <c r="H140" s="4"/>
      <c r="I140" s="4"/>
      <c r="J140" s="4"/>
      <c r="K140" s="4"/>
      <c r="R140" s="81"/>
    </row>
    <row r="141" spans="7:18" s="3" customFormat="1" x14ac:dyDescent="0.25">
      <c r="G141" s="4"/>
      <c r="H141" s="4"/>
      <c r="I141" s="4"/>
      <c r="J141" s="4"/>
      <c r="K141" s="4"/>
      <c r="R141" s="81"/>
    </row>
    <row r="142" spans="7:18" s="3" customFormat="1" x14ac:dyDescent="0.25">
      <c r="G142" s="4"/>
      <c r="H142" s="4"/>
      <c r="I142" s="4"/>
      <c r="J142" s="4"/>
      <c r="K142" s="4"/>
      <c r="R142" s="81"/>
    </row>
    <row r="143" spans="7:18" s="3" customFormat="1" x14ac:dyDescent="0.25">
      <c r="G143" s="4"/>
      <c r="H143" s="4"/>
      <c r="I143" s="4"/>
      <c r="J143" s="4"/>
      <c r="K143" s="4"/>
      <c r="R143" s="81"/>
    </row>
    <row r="144" spans="7:18" s="3" customFormat="1" x14ac:dyDescent="0.25">
      <c r="G144" s="4"/>
      <c r="H144" s="4"/>
      <c r="I144" s="4"/>
      <c r="J144" s="4"/>
      <c r="K144" s="4"/>
      <c r="R144" s="81"/>
    </row>
    <row r="145" spans="7:18" s="3" customFormat="1" x14ac:dyDescent="0.25">
      <c r="G145" s="4"/>
      <c r="H145" s="4"/>
      <c r="I145" s="4"/>
      <c r="J145" s="4"/>
      <c r="K145" s="4"/>
      <c r="R145" s="81"/>
    </row>
    <row r="146" spans="7:18" s="3" customFormat="1" x14ac:dyDescent="0.25">
      <c r="G146" s="4"/>
      <c r="H146" s="4"/>
      <c r="I146" s="4"/>
      <c r="J146" s="4"/>
      <c r="K146" s="4"/>
      <c r="R146" s="81"/>
    </row>
    <row r="147" spans="7:18" s="3" customFormat="1" x14ac:dyDescent="0.25">
      <c r="G147" s="4"/>
      <c r="H147" s="4"/>
      <c r="I147" s="4"/>
      <c r="J147" s="4"/>
      <c r="K147" s="4"/>
      <c r="R147" s="81"/>
    </row>
    <row r="148" spans="7:18" s="3" customFormat="1" x14ac:dyDescent="0.25">
      <c r="G148" s="4"/>
      <c r="H148" s="4"/>
      <c r="I148" s="4"/>
      <c r="J148" s="4"/>
      <c r="K148" s="4"/>
      <c r="R148" s="81"/>
    </row>
    <row r="149" spans="7:18" s="3" customFormat="1" x14ac:dyDescent="0.25">
      <c r="G149" s="4"/>
      <c r="H149" s="4"/>
      <c r="I149" s="4"/>
      <c r="J149" s="4"/>
      <c r="K149" s="4"/>
      <c r="R149" s="81"/>
    </row>
    <row r="150" spans="7:18" s="3" customFormat="1" x14ac:dyDescent="0.25">
      <c r="G150" s="4"/>
      <c r="H150" s="4"/>
      <c r="I150" s="4"/>
      <c r="J150" s="4"/>
      <c r="K150" s="4"/>
      <c r="R150" s="81"/>
    </row>
    <row r="151" spans="7:18" s="3" customFormat="1" x14ac:dyDescent="0.25">
      <c r="G151" s="4"/>
      <c r="H151" s="4"/>
      <c r="I151" s="4"/>
      <c r="J151" s="4"/>
      <c r="K151" s="4"/>
      <c r="R151" s="81"/>
    </row>
    <row r="152" spans="7:18" s="3" customFormat="1" x14ac:dyDescent="0.25">
      <c r="G152" s="4"/>
      <c r="H152" s="4"/>
      <c r="I152" s="4"/>
      <c r="J152" s="4"/>
      <c r="K152" s="4"/>
      <c r="R152" s="81"/>
    </row>
    <row r="153" spans="7:18" s="3" customFormat="1" x14ac:dyDescent="0.25">
      <c r="G153" s="4"/>
      <c r="H153" s="4"/>
      <c r="I153" s="4"/>
      <c r="J153" s="4"/>
      <c r="K153" s="4"/>
      <c r="R153" s="81"/>
    </row>
    <row r="154" spans="7:18" s="3" customFormat="1" x14ac:dyDescent="0.25">
      <c r="G154" s="4"/>
      <c r="H154" s="4"/>
      <c r="I154" s="4"/>
      <c r="J154" s="4"/>
      <c r="K154" s="4"/>
      <c r="R154" s="81"/>
    </row>
    <row r="155" spans="7:18" s="3" customFormat="1" x14ac:dyDescent="0.25">
      <c r="G155" s="4"/>
      <c r="H155" s="4"/>
      <c r="I155" s="4"/>
      <c r="J155" s="4"/>
      <c r="K155" s="4"/>
      <c r="R155" s="81"/>
    </row>
    <row r="156" spans="7:18" s="3" customFormat="1" x14ac:dyDescent="0.25">
      <c r="G156" s="4"/>
      <c r="H156" s="4"/>
      <c r="I156" s="4"/>
      <c r="J156" s="4"/>
      <c r="K156" s="4"/>
      <c r="R156" s="81"/>
    </row>
    <row r="157" spans="7:18" s="3" customFormat="1" x14ac:dyDescent="0.25">
      <c r="G157" s="4"/>
      <c r="H157" s="4"/>
      <c r="I157" s="4"/>
      <c r="J157" s="4"/>
      <c r="K157" s="4"/>
      <c r="R157" s="81"/>
    </row>
    <row r="158" spans="7:18" s="3" customFormat="1" x14ac:dyDescent="0.25">
      <c r="G158" s="4"/>
      <c r="H158" s="4"/>
      <c r="I158" s="4"/>
      <c r="J158" s="4"/>
      <c r="K158" s="4"/>
      <c r="R158" s="81"/>
    </row>
    <row r="159" spans="7:18" s="3" customFormat="1" x14ac:dyDescent="0.25">
      <c r="G159" s="4"/>
      <c r="H159" s="4"/>
      <c r="I159" s="4"/>
      <c r="J159" s="4"/>
      <c r="K159" s="4"/>
      <c r="R159" s="81"/>
    </row>
    <row r="160" spans="7:18" s="3" customFormat="1" x14ac:dyDescent="0.25">
      <c r="G160" s="4"/>
      <c r="H160" s="4"/>
      <c r="I160" s="4"/>
      <c r="J160" s="4"/>
      <c r="K160" s="4"/>
      <c r="R160" s="81"/>
    </row>
    <row r="161" spans="7:18" s="3" customFormat="1" x14ac:dyDescent="0.25">
      <c r="G161" s="4"/>
      <c r="H161" s="4"/>
      <c r="I161" s="4"/>
      <c r="J161" s="4"/>
      <c r="K161" s="4"/>
      <c r="R161" s="81"/>
    </row>
    <row r="162" spans="7:18" s="3" customFormat="1" x14ac:dyDescent="0.25">
      <c r="G162" s="4"/>
      <c r="H162" s="4"/>
      <c r="I162" s="4"/>
      <c r="J162" s="4"/>
      <c r="K162" s="4"/>
      <c r="R162" s="81"/>
    </row>
    <row r="163" spans="7:18" s="3" customFormat="1" x14ac:dyDescent="0.25">
      <c r="G163" s="4"/>
      <c r="H163" s="4"/>
      <c r="I163" s="4"/>
      <c r="J163" s="4"/>
      <c r="K163" s="4"/>
      <c r="R163" s="81"/>
    </row>
    <row r="164" spans="7:18" s="3" customFormat="1" x14ac:dyDescent="0.25">
      <c r="G164" s="4"/>
      <c r="H164" s="4"/>
      <c r="I164" s="4"/>
      <c r="J164" s="4"/>
      <c r="K164" s="4"/>
      <c r="R164" s="81"/>
    </row>
    <row r="165" spans="7:18" s="3" customFormat="1" x14ac:dyDescent="0.25">
      <c r="G165" s="4"/>
      <c r="H165" s="4"/>
      <c r="I165" s="4"/>
      <c r="J165" s="4"/>
      <c r="K165" s="4"/>
      <c r="R165" s="81"/>
    </row>
    <row r="166" spans="7:18" s="3" customFormat="1" x14ac:dyDescent="0.25">
      <c r="G166" s="4"/>
      <c r="H166" s="4"/>
      <c r="I166" s="4"/>
      <c r="J166" s="4"/>
      <c r="K166" s="4"/>
      <c r="R166" s="81"/>
    </row>
    <row r="167" spans="7:18" s="3" customFormat="1" x14ac:dyDescent="0.25">
      <c r="G167" s="4"/>
      <c r="H167" s="4"/>
      <c r="I167" s="4"/>
      <c r="J167" s="4"/>
      <c r="K167" s="4"/>
      <c r="R167" s="81"/>
    </row>
    <row r="168" spans="7:18" s="3" customFormat="1" x14ac:dyDescent="0.25">
      <c r="G168" s="4"/>
      <c r="H168" s="4"/>
      <c r="I168" s="4"/>
      <c r="J168" s="4"/>
      <c r="K168" s="4"/>
      <c r="R168" s="81"/>
    </row>
    <row r="169" spans="7:18" s="3" customFormat="1" x14ac:dyDescent="0.25">
      <c r="G169" s="4"/>
      <c r="H169" s="4"/>
      <c r="I169" s="4"/>
      <c r="J169" s="4"/>
      <c r="K169" s="4"/>
      <c r="R169" s="81"/>
    </row>
    <row r="170" spans="7:18" s="3" customFormat="1" x14ac:dyDescent="0.25">
      <c r="G170" s="4"/>
      <c r="H170" s="4"/>
      <c r="I170" s="4"/>
      <c r="J170" s="4"/>
      <c r="K170" s="4"/>
      <c r="R170" s="81"/>
    </row>
    <row r="171" spans="7:18" s="3" customFormat="1" x14ac:dyDescent="0.25">
      <c r="G171" s="4"/>
      <c r="H171" s="4"/>
      <c r="I171" s="4"/>
      <c r="J171" s="4"/>
      <c r="K171" s="4"/>
      <c r="R171" s="81"/>
    </row>
    <row r="172" spans="7:18" s="3" customFormat="1" x14ac:dyDescent="0.25">
      <c r="G172" s="4"/>
      <c r="H172" s="4"/>
      <c r="I172" s="4"/>
      <c r="J172" s="4"/>
      <c r="K172" s="4"/>
      <c r="R172" s="81"/>
    </row>
    <row r="173" spans="7:18" s="3" customFormat="1" x14ac:dyDescent="0.25">
      <c r="G173" s="4"/>
      <c r="H173" s="4"/>
      <c r="I173" s="4"/>
      <c r="J173" s="4"/>
      <c r="K173" s="4"/>
      <c r="R173" s="81"/>
    </row>
    <row r="174" spans="7:18" s="3" customFormat="1" x14ac:dyDescent="0.25">
      <c r="G174" s="4"/>
      <c r="H174" s="4"/>
      <c r="I174" s="4"/>
      <c r="J174" s="4"/>
      <c r="K174" s="4"/>
      <c r="R174" s="81"/>
    </row>
    <row r="175" spans="7:18" s="3" customFormat="1" x14ac:dyDescent="0.25">
      <c r="G175" s="4"/>
      <c r="H175" s="4"/>
      <c r="I175" s="4"/>
      <c r="J175" s="4"/>
      <c r="K175" s="4"/>
      <c r="R175" s="81"/>
    </row>
    <row r="176" spans="7:18" s="3" customFormat="1" x14ac:dyDescent="0.25">
      <c r="G176" s="4"/>
      <c r="H176" s="4"/>
      <c r="I176" s="4"/>
      <c r="J176" s="4"/>
      <c r="K176" s="4"/>
      <c r="R176" s="81"/>
    </row>
    <row r="177" spans="7:18" s="3" customFormat="1" x14ac:dyDescent="0.25">
      <c r="G177" s="4"/>
      <c r="H177" s="4"/>
      <c r="I177" s="4"/>
      <c r="J177" s="4"/>
      <c r="K177" s="4"/>
      <c r="R177" s="81"/>
    </row>
    <row r="178" spans="7:18" s="3" customFormat="1" x14ac:dyDescent="0.25">
      <c r="G178" s="4"/>
      <c r="H178" s="4"/>
      <c r="I178" s="4"/>
      <c r="J178" s="4"/>
      <c r="K178" s="4"/>
      <c r="R178" s="81"/>
    </row>
    <row r="179" spans="7:18" s="3" customFormat="1" x14ac:dyDescent="0.25">
      <c r="G179" s="4"/>
      <c r="H179" s="4"/>
      <c r="I179" s="4"/>
      <c r="J179" s="4"/>
      <c r="K179" s="4"/>
      <c r="R179" s="81"/>
    </row>
    <row r="180" spans="7:18" s="3" customFormat="1" x14ac:dyDescent="0.25">
      <c r="G180" s="4"/>
      <c r="H180" s="4"/>
      <c r="I180" s="4"/>
      <c r="J180" s="4"/>
      <c r="K180" s="4"/>
      <c r="R180" s="81"/>
    </row>
    <row r="181" spans="7:18" s="3" customFormat="1" x14ac:dyDescent="0.25">
      <c r="G181" s="4"/>
      <c r="H181" s="4"/>
      <c r="I181" s="4"/>
      <c r="J181" s="4"/>
      <c r="K181" s="4"/>
      <c r="R181" s="81"/>
    </row>
    <row r="182" spans="7:18" s="3" customFormat="1" x14ac:dyDescent="0.25">
      <c r="G182" s="4"/>
      <c r="H182" s="4"/>
      <c r="I182" s="4"/>
      <c r="J182" s="4"/>
      <c r="K182" s="4"/>
      <c r="R182" s="81"/>
    </row>
    <row r="183" spans="7:18" s="3" customFormat="1" x14ac:dyDescent="0.25">
      <c r="G183" s="4"/>
      <c r="H183" s="4"/>
      <c r="I183" s="4"/>
      <c r="J183" s="4"/>
      <c r="K183" s="4"/>
      <c r="R183" s="81"/>
    </row>
    <row r="184" spans="7:18" s="3" customFormat="1" x14ac:dyDescent="0.25">
      <c r="G184" s="4"/>
      <c r="H184" s="4"/>
      <c r="I184" s="4"/>
      <c r="J184" s="4"/>
      <c r="K184" s="4"/>
      <c r="R184" s="81"/>
    </row>
    <row r="185" spans="7:18" s="3" customFormat="1" x14ac:dyDescent="0.25">
      <c r="G185" s="4"/>
      <c r="H185" s="4"/>
      <c r="I185" s="4"/>
      <c r="J185" s="4"/>
      <c r="K185" s="4"/>
      <c r="R185" s="81"/>
    </row>
    <row r="186" spans="7:18" s="3" customFormat="1" x14ac:dyDescent="0.25">
      <c r="G186" s="4"/>
      <c r="H186" s="4"/>
      <c r="I186" s="4"/>
      <c r="J186" s="4"/>
      <c r="K186" s="4"/>
      <c r="R186" s="81"/>
    </row>
    <row r="187" spans="7:18" s="3" customFormat="1" x14ac:dyDescent="0.25">
      <c r="G187" s="4"/>
      <c r="H187" s="4"/>
      <c r="I187" s="4"/>
      <c r="J187" s="4"/>
      <c r="K187" s="4"/>
      <c r="R187" s="81"/>
    </row>
    <row r="188" spans="7:18" s="3" customFormat="1" x14ac:dyDescent="0.25">
      <c r="G188" s="4"/>
      <c r="H188" s="4"/>
      <c r="I188" s="4"/>
      <c r="J188" s="4"/>
      <c r="K188" s="4"/>
      <c r="R188" s="81"/>
    </row>
    <row r="189" spans="7:18" s="3" customFormat="1" x14ac:dyDescent="0.25">
      <c r="G189" s="4"/>
      <c r="H189" s="4"/>
      <c r="I189" s="4"/>
      <c r="J189" s="4"/>
      <c r="K189" s="4"/>
      <c r="R189" s="81"/>
    </row>
    <row r="190" spans="7:18" s="3" customFormat="1" x14ac:dyDescent="0.25">
      <c r="G190" s="4"/>
      <c r="H190" s="4"/>
      <c r="I190" s="4"/>
      <c r="J190" s="4"/>
      <c r="K190" s="4"/>
      <c r="R190" s="81"/>
    </row>
    <row r="191" spans="7:18" s="3" customFormat="1" x14ac:dyDescent="0.25">
      <c r="G191" s="4"/>
      <c r="H191" s="4"/>
      <c r="I191" s="4"/>
      <c r="J191" s="4"/>
      <c r="K191" s="4"/>
      <c r="R191" s="81"/>
    </row>
    <row r="192" spans="7:18" s="3" customFormat="1" x14ac:dyDescent="0.25">
      <c r="G192" s="4"/>
      <c r="H192" s="4"/>
      <c r="I192" s="4"/>
      <c r="J192" s="4"/>
      <c r="K192" s="4"/>
      <c r="R192" s="81"/>
    </row>
    <row r="193" spans="7:18" s="3" customFormat="1" x14ac:dyDescent="0.25">
      <c r="G193" s="4"/>
      <c r="H193" s="4"/>
      <c r="I193" s="4"/>
      <c r="J193" s="4"/>
      <c r="K193" s="4"/>
      <c r="R193" s="81"/>
    </row>
    <row r="194" spans="7:18" s="3" customFormat="1" x14ac:dyDescent="0.25">
      <c r="G194" s="4"/>
      <c r="H194" s="4"/>
      <c r="I194" s="4"/>
      <c r="J194" s="4"/>
      <c r="K194" s="4"/>
      <c r="R194" s="81"/>
    </row>
    <row r="195" spans="7:18" s="3" customFormat="1" x14ac:dyDescent="0.25">
      <c r="G195" s="4"/>
      <c r="H195" s="4"/>
      <c r="I195" s="4"/>
      <c r="J195" s="4"/>
      <c r="K195" s="4"/>
      <c r="R195" s="81"/>
    </row>
    <row r="196" spans="7:18" s="3" customFormat="1" x14ac:dyDescent="0.25">
      <c r="G196" s="4"/>
      <c r="H196" s="4"/>
      <c r="I196" s="4"/>
      <c r="J196" s="4"/>
      <c r="K196" s="4"/>
      <c r="R196" s="81"/>
    </row>
    <row r="197" spans="7:18" s="3" customFormat="1" x14ac:dyDescent="0.25">
      <c r="G197" s="4"/>
      <c r="H197" s="4"/>
      <c r="I197" s="4"/>
      <c r="J197" s="4"/>
      <c r="K197" s="4"/>
      <c r="R197" s="81"/>
    </row>
    <row r="198" spans="7:18" s="3" customFormat="1" x14ac:dyDescent="0.25">
      <c r="G198" s="4"/>
      <c r="H198" s="4"/>
      <c r="I198" s="4"/>
      <c r="J198" s="4"/>
      <c r="K198" s="4"/>
      <c r="R198" s="81"/>
    </row>
    <row r="199" spans="7:18" s="3" customFormat="1" x14ac:dyDescent="0.25">
      <c r="G199" s="4"/>
      <c r="H199" s="4"/>
      <c r="I199" s="4"/>
      <c r="J199" s="4"/>
      <c r="K199" s="4"/>
      <c r="R199" s="81"/>
    </row>
    <row r="200" spans="7:18" s="3" customFormat="1" x14ac:dyDescent="0.25">
      <c r="G200" s="4"/>
      <c r="H200" s="4"/>
      <c r="I200" s="4"/>
      <c r="J200" s="4"/>
      <c r="K200" s="4"/>
      <c r="R200" s="81"/>
    </row>
    <row r="201" spans="7:18" s="3" customFormat="1" x14ac:dyDescent="0.25">
      <c r="G201" s="4"/>
      <c r="H201" s="4"/>
      <c r="I201" s="4"/>
      <c r="J201" s="4"/>
      <c r="K201" s="4"/>
      <c r="R201" s="81"/>
    </row>
    <row r="202" spans="7:18" s="3" customFormat="1" x14ac:dyDescent="0.25">
      <c r="G202" s="4"/>
      <c r="H202" s="4"/>
      <c r="I202" s="4"/>
      <c r="J202" s="4"/>
      <c r="K202" s="4"/>
      <c r="R202" s="81"/>
    </row>
    <row r="203" spans="7:18" s="3" customFormat="1" x14ac:dyDescent="0.25">
      <c r="G203" s="4"/>
      <c r="H203" s="4"/>
      <c r="I203" s="4"/>
      <c r="J203" s="4"/>
      <c r="K203" s="4"/>
      <c r="R203" s="81"/>
    </row>
    <row r="204" spans="7:18" s="3" customFormat="1" x14ac:dyDescent="0.25">
      <c r="G204" s="4"/>
      <c r="H204" s="4"/>
      <c r="I204" s="4"/>
      <c r="J204" s="4"/>
      <c r="K204" s="4"/>
      <c r="R204" s="81"/>
    </row>
    <row r="205" spans="7:18" s="3" customFormat="1" x14ac:dyDescent="0.25">
      <c r="G205" s="4"/>
      <c r="H205" s="4"/>
      <c r="I205" s="4"/>
      <c r="J205" s="4"/>
      <c r="K205" s="4"/>
      <c r="R205" s="81"/>
    </row>
    <row r="206" spans="7:18" s="3" customFormat="1" x14ac:dyDescent="0.25">
      <c r="G206" s="4"/>
      <c r="H206" s="4"/>
      <c r="I206" s="4"/>
      <c r="J206" s="4"/>
      <c r="K206" s="4"/>
      <c r="R206" s="81"/>
    </row>
    <row r="207" spans="7:18" s="3" customFormat="1" x14ac:dyDescent="0.25">
      <c r="G207" s="4"/>
      <c r="H207" s="4"/>
      <c r="I207" s="4"/>
      <c r="J207" s="4"/>
      <c r="K207" s="4"/>
      <c r="R207" s="81"/>
    </row>
    <row r="208" spans="7:18" s="3" customFormat="1" x14ac:dyDescent="0.25">
      <c r="G208" s="4"/>
      <c r="H208" s="4"/>
      <c r="I208" s="4"/>
      <c r="J208" s="4"/>
      <c r="K208" s="4"/>
      <c r="R208" s="81"/>
    </row>
    <row r="209" spans="7:18" s="3" customFormat="1" x14ac:dyDescent="0.25">
      <c r="G209" s="4"/>
      <c r="H209" s="4"/>
      <c r="I209" s="4"/>
      <c r="J209" s="4"/>
      <c r="K209" s="4"/>
      <c r="R209" s="81"/>
    </row>
    <row r="210" spans="7:18" s="3" customFormat="1" x14ac:dyDescent="0.25">
      <c r="G210" s="4"/>
      <c r="H210" s="4"/>
      <c r="I210" s="4"/>
      <c r="J210" s="4"/>
      <c r="K210" s="4"/>
      <c r="R210" s="81"/>
    </row>
    <row r="211" spans="7:18" s="3" customFormat="1" x14ac:dyDescent="0.25">
      <c r="G211" s="4"/>
      <c r="H211" s="4"/>
      <c r="I211" s="4"/>
      <c r="J211" s="4"/>
      <c r="K211" s="4"/>
      <c r="R211" s="81"/>
    </row>
    <row r="212" spans="7:18" s="3" customFormat="1" x14ac:dyDescent="0.25">
      <c r="G212" s="4"/>
      <c r="H212" s="4"/>
      <c r="I212" s="4"/>
      <c r="J212" s="4"/>
      <c r="K212" s="4"/>
      <c r="R212" s="81"/>
    </row>
    <row r="213" spans="7:18" s="3" customFormat="1" x14ac:dyDescent="0.25">
      <c r="G213" s="4"/>
      <c r="H213" s="4"/>
      <c r="I213" s="4"/>
      <c r="J213" s="4"/>
      <c r="K213" s="4"/>
      <c r="R213" s="81"/>
    </row>
    <row r="214" spans="7:18" s="3" customFormat="1" x14ac:dyDescent="0.25">
      <c r="G214" s="4"/>
      <c r="H214" s="4"/>
      <c r="I214" s="4"/>
      <c r="J214" s="4"/>
      <c r="K214" s="4"/>
      <c r="R214" s="81"/>
    </row>
    <row r="215" spans="7:18" s="3" customFormat="1" x14ac:dyDescent="0.25">
      <c r="G215" s="4"/>
      <c r="H215" s="4"/>
      <c r="I215" s="4"/>
      <c r="J215" s="4"/>
      <c r="K215" s="4"/>
      <c r="R215" s="81"/>
    </row>
    <row r="216" spans="7:18" s="3" customFormat="1" x14ac:dyDescent="0.25">
      <c r="G216" s="4"/>
      <c r="H216" s="4"/>
      <c r="I216" s="4"/>
      <c r="J216" s="4"/>
      <c r="K216" s="4"/>
      <c r="R216" s="81"/>
    </row>
    <row r="217" spans="7:18" s="3" customFormat="1" x14ac:dyDescent="0.25">
      <c r="G217" s="4"/>
      <c r="H217" s="4"/>
      <c r="I217" s="4"/>
      <c r="J217" s="4"/>
      <c r="K217" s="4"/>
      <c r="R217" s="81"/>
    </row>
    <row r="218" spans="7:18" s="3" customFormat="1" x14ac:dyDescent="0.25">
      <c r="G218" s="4"/>
      <c r="H218" s="4"/>
      <c r="I218" s="4"/>
      <c r="J218" s="4"/>
      <c r="K218" s="4"/>
      <c r="R218" s="81"/>
    </row>
    <row r="219" spans="7:18" s="3" customFormat="1" x14ac:dyDescent="0.25">
      <c r="G219" s="4"/>
      <c r="H219" s="4"/>
      <c r="I219" s="4"/>
      <c r="J219" s="4"/>
      <c r="K219" s="4"/>
      <c r="R219" s="81"/>
    </row>
    <row r="220" spans="7:18" s="3" customFormat="1" x14ac:dyDescent="0.25">
      <c r="G220" s="4"/>
      <c r="H220" s="4"/>
      <c r="I220" s="4"/>
      <c r="J220" s="4"/>
      <c r="K220" s="4"/>
      <c r="R220" s="81"/>
    </row>
    <row r="221" spans="7:18" s="3" customFormat="1" x14ac:dyDescent="0.25">
      <c r="G221" s="4"/>
      <c r="H221" s="4"/>
      <c r="I221" s="4"/>
      <c r="J221" s="4"/>
      <c r="K221" s="4"/>
      <c r="R221" s="81"/>
    </row>
    <row r="222" spans="7:18" s="3" customFormat="1" x14ac:dyDescent="0.25">
      <c r="G222" s="4"/>
      <c r="H222" s="4"/>
      <c r="I222" s="4"/>
      <c r="J222" s="4"/>
      <c r="K222" s="4"/>
      <c r="R222" s="81"/>
    </row>
    <row r="223" spans="7:18" s="3" customFormat="1" x14ac:dyDescent="0.25">
      <c r="G223" s="4"/>
      <c r="H223" s="4"/>
      <c r="I223" s="4"/>
      <c r="J223" s="4"/>
      <c r="K223" s="4"/>
      <c r="R223" s="81"/>
    </row>
    <row r="224" spans="7:18" s="3" customFormat="1" x14ac:dyDescent="0.25">
      <c r="G224" s="4"/>
      <c r="H224" s="4"/>
      <c r="I224" s="4"/>
      <c r="J224" s="4"/>
      <c r="K224" s="4"/>
      <c r="R224" s="81"/>
    </row>
    <row r="225" spans="7:18" s="3" customFormat="1" x14ac:dyDescent="0.25">
      <c r="G225" s="4"/>
      <c r="H225" s="4"/>
      <c r="I225" s="4"/>
      <c r="J225" s="4"/>
      <c r="K225" s="4"/>
      <c r="R225" s="81"/>
    </row>
    <row r="226" spans="7:18" s="3" customFormat="1" x14ac:dyDescent="0.25">
      <c r="G226" s="4"/>
      <c r="H226" s="4"/>
      <c r="I226" s="4"/>
      <c r="J226" s="4"/>
      <c r="K226" s="4"/>
      <c r="R226" s="81"/>
    </row>
    <row r="227" spans="7:18" s="3" customFormat="1" x14ac:dyDescent="0.25">
      <c r="G227" s="4"/>
      <c r="H227" s="4"/>
      <c r="I227" s="4"/>
      <c r="J227" s="4"/>
      <c r="K227" s="4"/>
      <c r="R227" s="81"/>
    </row>
    <row r="228" spans="7:18" s="3" customFormat="1" x14ac:dyDescent="0.25">
      <c r="G228" s="4"/>
      <c r="H228" s="4"/>
      <c r="I228" s="4"/>
      <c r="J228" s="4"/>
      <c r="K228" s="4"/>
      <c r="R228" s="81"/>
    </row>
    <row r="229" spans="7:18" s="3" customFormat="1" x14ac:dyDescent="0.25">
      <c r="G229" s="4"/>
      <c r="H229" s="4"/>
      <c r="I229" s="4"/>
      <c r="J229" s="4"/>
      <c r="K229" s="4"/>
      <c r="R229" s="81"/>
    </row>
    <row r="230" spans="7:18" s="3" customFormat="1" x14ac:dyDescent="0.25">
      <c r="G230" s="4"/>
      <c r="H230" s="4"/>
      <c r="I230" s="4"/>
      <c r="J230" s="4"/>
      <c r="K230" s="4"/>
      <c r="R230" s="81"/>
    </row>
    <row r="231" spans="7:18" s="3" customFormat="1" x14ac:dyDescent="0.25">
      <c r="G231" s="4"/>
      <c r="H231" s="4"/>
      <c r="I231" s="4"/>
      <c r="J231" s="4"/>
      <c r="K231" s="4"/>
      <c r="R231" s="81"/>
    </row>
    <row r="232" spans="7:18" s="3" customFormat="1" x14ac:dyDescent="0.25">
      <c r="G232" s="4"/>
      <c r="H232" s="4"/>
      <c r="I232" s="4"/>
      <c r="J232" s="4"/>
      <c r="K232" s="4"/>
      <c r="R232" s="81"/>
    </row>
    <row r="233" spans="7:18" s="3" customFormat="1" x14ac:dyDescent="0.25">
      <c r="G233" s="4"/>
      <c r="H233" s="4"/>
      <c r="I233" s="4"/>
      <c r="J233" s="4"/>
      <c r="K233" s="4"/>
      <c r="R233" s="81"/>
    </row>
  </sheetData>
  <mergeCells count="7">
    <mergeCell ref="A69:A81"/>
    <mergeCell ref="A56:A68"/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Blerim Zhabari</cp:lastModifiedBy>
  <cp:lastPrinted>2019-02-13T09:38:28Z</cp:lastPrinted>
  <dcterms:created xsi:type="dcterms:W3CDTF">2015-03-12T08:53:45Z</dcterms:created>
  <dcterms:modified xsi:type="dcterms:W3CDTF">2020-12-31T10:34:37Z</dcterms:modified>
</cp:coreProperties>
</file>