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it.abiti\Desktop\Dokumentet e mia\GAZI\"/>
    </mc:Choice>
  </mc:AlternateContent>
  <bookViews>
    <workbookView xWindow="0" yWindow="240" windowWidth="19200" windowHeight="6345" activeTab="1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Q123" i="6" l="1"/>
  <c r="P123" i="6"/>
  <c r="O123" i="6"/>
  <c r="N123" i="6"/>
  <c r="P133" i="12"/>
  <c r="N133" i="12"/>
  <c r="M133" i="12"/>
  <c r="K133" i="12"/>
  <c r="J133" i="12"/>
  <c r="I133" i="12"/>
  <c r="H133" i="12"/>
  <c r="G133" i="12"/>
  <c r="C132" i="12"/>
  <c r="C131" i="12"/>
  <c r="C130" i="12"/>
  <c r="C129" i="12"/>
  <c r="L133" i="12"/>
  <c r="C128" i="12"/>
  <c r="C127" i="12"/>
  <c r="C126" i="12"/>
  <c r="C125" i="12"/>
  <c r="C124" i="12"/>
  <c r="C123" i="12"/>
  <c r="C122" i="12"/>
  <c r="O133" i="12"/>
  <c r="C121" i="12"/>
  <c r="AD135" i="6"/>
  <c r="AC135" i="6"/>
  <c r="AB135" i="6"/>
  <c r="AA135" i="6"/>
  <c r="Z135" i="6"/>
  <c r="X135" i="6"/>
  <c r="W135" i="6"/>
  <c r="V135" i="6"/>
  <c r="U135" i="6"/>
  <c r="T135" i="6"/>
  <c r="L135" i="6"/>
  <c r="K135" i="6"/>
  <c r="J135" i="6"/>
  <c r="H135" i="6"/>
  <c r="G135" i="6"/>
  <c r="F135" i="6"/>
  <c r="Y134" i="6"/>
  <c r="S134" i="6"/>
  <c r="M134" i="6"/>
  <c r="Y133" i="6"/>
  <c r="S133" i="6"/>
  <c r="Y132" i="6"/>
  <c r="S132" i="6"/>
  <c r="Y131" i="6"/>
  <c r="S131" i="6"/>
  <c r="M131" i="6"/>
  <c r="Y130" i="6"/>
  <c r="S130" i="6"/>
  <c r="I130" i="6"/>
  <c r="E130" i="6" s="1"/>
  <c r="Y129" i="6"/>
  <c r="S129" i="6"/>
  <c r="I129" i="6"/>
  <c r="E129" i="6"/>
  <c r="Y128" i="6"/>
  <c r="S128" i="6"/>
  <c r="M128" i="6"/>
  <c r="I128" i="6"/>
  <c r="E128" i="6"/>
  <c r="Y127" i="6"/>
  <c r="S127" i="6"/>
  <c r="M127" i="6"/>
  <c r="K127" i="6"/>
  <c r="I127" i="6" s="1"/>
  <c r="E127" i="6" s="1"/>
  <c r="Y126" i="6"/>
  <c r="S126" i="6"/>
  <c r="K126" i="6"/>
  <c r="I126" i="6"/>
  <c r="E126" i="6"/>
  <c r="Y125" i="6"/>
  <c r="S125" i="6"/>
  <c r="I125" i="6"/>
  <c r="G125" i="6"/>
  <c r="Y124" i="6"/>
  <c r="S124" i="6"/>
  <c r="I124" i="6"/>
  <c r="E124" i="6"/>
  <c r="Y123" i="6"/>
  <c r="S123" i="6"/>
  <c r="I123" i="6"/>
  <c r="E123" i="6"/>
  <c r="C127" i="6" l="1"/>
  <c r="F133" i="12"/>
  <c r="E133" i="12" s="1"/>
  <c r="D133" i="12" s="1"/>
  <c r="C133" i="12"/>
  <c r="I135" i="6"/>
  <c r="E135" i="6" s="1"/>
  <c r="E125" i="6"/>
  <c r="D128" i="6"/>
  <c r="Y135" i="6"/>
  <c r="S135" i="6"/>
  <c r="O135" i="6"/>
  <c r="M126" i="6"/>
  <c r="C126" i="6" s="1"/>
  <c r="C134" i="6"/>
  <c r="M130" i="6"/>
  <c r="C130" i="6" s="1"/>
  <c r="M125" i="6"/>
  <c r="C125" i="6" s="1"/>
  <c r="M133" i="6"/>
  <c r="C133" i="6" s="1"/>
  <c r="M124" i="6"/>
  <c r="C124" i="6" s="1"/>
  <c r="M132" i="6"/>
  <c r="C132" i="6" s="1"/>
  <c r="M129" i="6"/>
  <c r="C129" i="6" s="1"/>
  <c r="C131" i="6"/>
  <c r="M123" i="6"/>
  <c r="Q135" i="6"/>
  <c r="R135" i="6"/>
  <c r="D127" i="6"/>
  <c r="N135" i="6"/>
  <c r="P135" i="6"/>
  <c r="C128" i="6"/>
  <c r="R121" i="6"/>
  <c r="Q121" i="6"/>
  <c r="P121" i="6"/>
  <c r="O121" i="6"/>
  <c r="N121" i="6"/>
  <c r="R120" i="6"/>
  <c r="Q120" i="6"/>
  <c r="P120" i="6"/>
  <c r="O120" i="6"/>
  <c r="N120" i="6"/>
  <c r="D126" i="6" l="1"/>
  <c r="M135" i="6"/>
  <c r="C135" i="6" s="1"/>
  <c r="D130" i="6"/>
  <c r="D125" i="6"/>
  <c r="D124" i="6"/>
  <c r="D129" i="6"/>
  <c r="C123" i="6"/>
  <c r="D123" i="6"/>
  <c r="R119" i="6"/>
  <c r="Q119" i="6"/>
  <c r="P119" i="6"/>
  <c r="R118" i="6"/>
  <c r="Q118" i="6"/>
  <c r="P118" i="6"/>
  <c r="O118" i="6"/>
  <c r="O119" i="6"/>
  <c r="N119" i="6"/>
  <c r="N118" i="6"/>
  <c r="D135" i="6" l="1"/>
  <c r="R117" i="6"/>
  <c r="R116" i="6"/>
  <c r="Q117" i="6"/>
  <c r="Q116" i="6"/>
  <c r="P117" i="6"/>
  <c r="P116" i="6"/>
  <c r="O117" i="6"/>
  <c r="O116" i="6"/>
  <c r="N116" i="6"/>
  <c r="Q115" i="6"/>
  <c r="P115" i="6"/>
  <c r="O115" i="6"/>
  <c r="N117" i="6"/>
  <c r="N115" i="6"/>
  <c r="C109" i="12" l="1"/>
  <c r="C110" i="12"/>
  <c r="C111" i="12"/>
  <c r="C112" i="12"/>
  <c r="C113" i="12"/>
  <c r="C114" i="12"/>
  <c r="C115" i="12"/>
  <c r="C116" i="12"/>
  <c r="C117" i="12"/>
  <c r="C118" i="12"/>
  <c r="C119" i="12"/>
  <c r="C108" i="12"/>
  <c r="O113" i="6" l="1"/>
  <c r="Q114" i="6"/>
  <c r="Q113" i="6"/>
  <c r="Q112" i="6"/>
  <c r="Q111" i="6"/>
  <c r="P114" i="6"/>
  <c r="P113" i="6"/>
  <c r="P112" i="6"/>
  <c r="P111" i="6"/>
  <c r="O114" i="6"/>
  <c r="O112" i="6"/>
  <c r="O111" i="6"/>
  <c r="O110" i="6"/>
  <c r="N110" i="6"/>
  <c r="N114" i="6"/>
  <c r="N113" i="6"/>
  <c r="N112" i="6"/>
  <c r="N111" i="6"/>
  <c r="AD122" i="6" l="1"/>
  <c r="AC122" i="6"/>
  <c r="AB122" i="6"/>
  <c r="AA122" i="6"/>
  <c r="Z122" i="6"/>
  <c r="X122" i="6"/>
  <c r="W122" i="6"/>
  <c r="V122" i="6"/>
  <c r="U122" i="6"/>
  <c r="T122" i="6"/>
  <c r="L122" i="6"/>
  <c r="J122" i="6"/>
  <c r="H122" i="6"/>
  <c r="F122" i="6"/>
  <c r="B122" i="6"/>
  <c r="Y121" i="6"/>
  <c r="S121" i="6"/>
  <c r="M121" i="6"/>
  <c r="B121" i="6"/>
  <c r="Y120" i="6"/>
  <c r="S120" i="6"/>
  <c r="M120" i="6"/>
  <c r="B120" i="6"/>
  <c r="Y119" i="6"/>
  <c r="S119" i="6"/>
  <c r="B119" i="6"/>
  <c r="Y118" i="6"/>
  <c r="S118" i="6"/>
  <c r="B118" i="6"/>
  <c r="Y117" i="6"/>
  <c r="S117" i="6"/>
  <c r="I117" i="6"/>
  <c r="E117" i="6" s="1"/>
  <c r="B117" i="6"/>
  <c r="Y116" i="6"/>
  <c r="S116" i="6"/>
  <c r="I116" i="6"/>
  <c r="E116" i="6"/>
  <c r="B116" i="6"/>
  <c r="Y115" i="6"/>
  <c r="S115" i="6"/>
  <c r="M115" i="6"/>
  <c r="I115" i="6"/>
  <c r="E115" i="6" s="1"/>
  <c r="B115" i="6"/>
  <c r="Y114" i="6"/>
  <c r="S114" i="6"/>
  <c r="K114" i="6"/>
  <c r="I114" i="6"/>
  <c r="E114" i="6" s="1"/>
  <c r="B114" i="6"/>
  <c r="Y113" i="6"/>
  <c r="S113" i="6"/>
  <c r="M113" i="6"/>
  <c r="K113" i="6"/>
  <c r="I113" i="6"/>
  <c r="E113" i="6" s="1"/>
  <c r="B113" i="6"/>
  <c r="Y112" i="6"/>
  <c r="S112" i="6"/>
  <c r="M112" i="6"/>
  <c r="I112" i="6"/>
  <c r="G112" i="6"/>
  <c r="G122" i="6" s="1"/>
  <c r="B112" i="6"/>
  <c r="Y111" i="6"/>
  <c r="S111" i="6"/>
  <c r="I111" i="6"/>
  <c r="E111" i="6"/>
  <c r="B111" i="6"/>
  <c r="Y110" i="6"/>
  <c r="S110" i="6"/>
  <c r="M110" i="6"/>
  <c r="I110" i="6"/>
  <c r="E110" i="6" s="1"/>
  <c r="B110" i="6"/>
  <c r="P120" i="12"/>
  <c r="N120" i="12"/>
  <c r="M120" i="12"/>
  <c r="K120" i="12"/>
  <c r="J120" i="12"/>
  <c r="I120" i="12"/>
  <c r="H120" i="12"/>
  <c r="G120" i="12"/>
  <c r="B120" i="12"/>
  <c r="B119" i="12"/>
  <c r="O120" i="12"/>
  <c r="B118" i="12"/>
  <c r="B117" i="12"/>
  <c r="B116" i="12"/>
  <c r="B115" i="12"/>
  <c r="B114" i="12"/>
  <c r="B113" i="12"/>
  <c r="B112" i="12"/>
  <c r="B111" i="12"/>
  <c r="B110" i="12"/>
  <c r="B109" i="12"/>
  <c r="B108" i="12"/>
  <c r="E112" i="6" l="1"/>
  <c r="D112" i="6" s="1"/>
  <c r="K122" i="6"/>
  <c r="D115" i="6"/>
  <c r="F120" i="12"/>
  <c r="E120" i="12" s="1"/>
  <c r="D120" i="12" s="1"/>
  <c r="Y122" i="6"/>
  <c r="S122" i="6"/>
  <c r="C113" i="6"/>
  <c r="C121" i="6"/>
  <c r="M117" i="6"/>
  <c r="D117" i="6" s="1"/>
  <c r="M114" i="6"/>
  <c r="C114" i="6" s="1"/>
  <c r="C120" i="6"/>
  <c r="D113" i="6"/>
  <c r="C112" i="6"/>
  <c r="P122" i="6"/>
  <c r="Q122" i="6"/>
  <c r="M116" i="6"/>
  <c r="D116" i="6" s="1"/>
  <c r="C115" i="6"/>
  <c r="M111" i="6"/>
  <c r="C111" i="6" s="1"/>
  <c r="M118" i="6"/>
  <c r="C118" i="6" s="1"/>
  <c r="R122" i="6"/>
  <c r="M119" i="6"/>
  <c r="C119" i="6" s="1"/>
  <c r="C110" i="6"/>
  <c r="D110" i="6"/>
  <c r="I122" i="6"/>
  <c r="E122" i="6" s="1"/>
  <c r="N122" i="6"/>
  <c r="O122" i="6"/>
  <c r="C120" i="12"/>
  <c r="L120" i="12"/>
  <c r="O106" i="12"/>
  <c r="L106" i="12"/>
  <c r="D111" i="6" l="1"/>
  <c r="D114" i="6"/>
  <c r="C117" i="6"/>
  <c r="C116" i="6"/>
  <c r="M122" i="6"/>
  <c r="C122" i="6" s="1"/>
  <c r="Y107" i="6"/>
  <c r="D122" i="6" l="1"/>
  <c r="O105" i="12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 s="1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/>
  <c r="B102" i="6"/>
  <c r="S101" i="6"/>
  <c r="M101" i="6"/>
  <c r="K101" i="6"/>
  <c r="I101" i="6"/>
  <c r="E101" i="6"/>
  <c r="B101" i="6"/>
  <c r="S100" i="6"/>
  <c r="K100" i="6"/>
  <c r="I100" i="6"/>
  <c r="E100" i="6"/>
  <c r="B100" i="6"/>
  <c r="S99" i="6"/>
  <c r="I99" i="6"/>
  <c r="E99" i="6" s="1"/>
  <c r="G99" i="6"/>
  <c r="G109" i="6" s="1"/>
  <c r="B99" i="6"/>
  <c r="S98" i="6"/>
  <c r="I98" i="6"/>
  <c r="E98" i="6" s="1"/>
  <c r="B98" i="6"/>
  <c r="Y97" i="6"/>
  <c r="S97" i="6"/>
  <c r="M97" i="6"/>
  <c r="I97" i="6"/>
  <c r="E97" i="6" s="1"/>
  <c r="B97" i="6"/>
  <c r="K109" i="6" l="1"/>
  <c r="C97" i="6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C102" i="6"/>
  <c r="D102" i="6"/>
  <c r="I109" i="6"/>
  <c r="E109" i="6" s="1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 s="1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 s="1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<sst xmlns="http://schemas.openxmlformats.org/spreadsheetml/2006/main" count="978" uniqueCount="891">
  <si>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</si>
  <si>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</si>
  <si>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</si>
  <si>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</si>
  <si>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</si>
  <si>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</si>
  <si>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</si>
  <si>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</si>
  <si>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</si>
  <si>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</si>
  <si>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</si>
  <si>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</si>
  <si>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</si>
  <si>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</si>
  <si>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</si>
  <si>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</si>
  <si>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</si>
  <si>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</si>
  <si>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</si>
  <si>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</si>
  <si>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</si>
  <si>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</si>
  <si>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</si>
  <si>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</si>
  <si>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</si>
  <si>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</si>
  <si>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</si>
  <si>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</si>
  <si>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</si>
  <si>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</si>
  <si>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</si>
  <si>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</si>
  <si>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</si>
  <si>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</si>
  <si>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</si>
  <si>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</si>
  <si>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</si>
  <si>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</si>
  <si>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</si>
  <si>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</si>
  <si>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</si>
  <si>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</si>
  <si>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</si>
  <si>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</si>
  <si>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</si>
  <si>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</si>
  <si>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</si>
  <si>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</si>
  <si>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</si>
  <si>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</si>
  <si>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</si>
  <si>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</si>
  <si>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</si>
  <si>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</si>
  <si>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</si>
  <si>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</si>
  <si>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</si>
  <si>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</si>
  <si>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</si>
  <si>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</si>
  <si>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</si>
  <si>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</si>
  <si>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</si>
  <si>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</si>
  <si>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</si>
  <si>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</si>
  <si>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</si>
  <si>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</si>
  <si>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</si>
  <si>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</si>
  <si>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</si>
  <si>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</si>
  <si>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</si>
  <si>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</si>
  <si>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</si>
  <si>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</si>
  <si>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</si>
  <si>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</si>
  <si>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</si>
  <si>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</si>
  <si>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</si>
  <si>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</si>
  <si>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</si>
  <si>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</si>
  <si>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</si>
  <si>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</si>
  <si>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</si>
  <si>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</si>
  <si>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</si>
  <si>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</si>
  <si>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</si>
  <si>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</si>
  <si>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</si>
  <si>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</si>
  <si>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</si>
  <si>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</si>
  <si>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</si>
  <si>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</si>
  <si>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</si>
  <si>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</si>
  <si>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</si>
  <si>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</si>
  <si>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</si>
  <si>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</si>
  <si>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</si>
  <si>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</si>
  <si>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</si>
  <si>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</si>
  <si>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</si>
  <si>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</si>
  <si>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</si>
  <si>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</si>
  <si>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</si>
  <si>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</si>
  <si>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</si>
  <si>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</si>
  <si>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</si>
  <si>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</si>
  <si>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</si>
  <si>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</si>
  <si>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</si>
  <si>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</si>
  <si>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</si>
  <si>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</si>
  <si>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</si>
  <si>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</si>
  <si>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</si>
  <si>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</si>
  <si>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</si>
  <si>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</si>
  <si>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</si>
  <si>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</si>
  <si>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</si>
  <si>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</si>
  <si>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</si>
  <si>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</si>
  <si>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</si>
  <si>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</si>
  <si>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</si>
  <si>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</si>
  <si>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</si>
  <si>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</si>
  <si>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</si>
  <si>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</si>
  <si>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</si>
  <si>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</si>
  <si>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</si>
  <si>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</si>
  <si>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</si>
  <si>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</si>
  <si>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</si>
  <si>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</si>
  <si>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</si>
  <si>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</si>
  <si>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</si>
  <si>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</si>
  <si>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</si>
  <si>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</si>
  <si>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</si>
  <si>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</si>
  <si>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</si>
  <si>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</si>
  <si>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</si>
  <si>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</si>
  <si>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</si>
  <si>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</si>
  <si>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</si>
  <si>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</si>
  <si>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</si>
  <si>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</si>
  <si>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</si>
  <si>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</si>
  <si>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</si>
  <si>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</si>
  <si>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</si>
  <si>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</si>
  <si>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</si>
  <si>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</si>
  <si>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</si>
  <si>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</si>
  <si>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</si>
  <si>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</si>
  <si>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</si>
  <si>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</si>
  <si>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</si>
  <si>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</si>
  <si>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</si>
  <si>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</si>
  <si>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</si>
  <si>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</si>
  <si>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</si>
  <si>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</si>
  <si>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</si>
  <si>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</si>
  <si>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</si>
  <si>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</si>
  <si>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</si>
  <si>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</si>
  <si>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</si>
  <si>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</si>
  <si>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</si>
  <si>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</si>
  <si>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</si>
  <si>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</si>
  <si>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</si>
  <si>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</si>
  <si>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</si>
  <si>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</si>
  <si>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</si>
  <si>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</si>
  <si>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</si>
  <si>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</si>
  <si>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</si>
  <si>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</si>
  <si>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</si>
  <si>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</si>
  <si>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</si>
  <si>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</si>
  <si>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</si>
  <si>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</si>
  <si>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</si>
  <si>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</si>
  <si>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</si>
  <si>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</si>
  <si>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</si>
  <si>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</si>
  <si>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</si>
  <si>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</si>
  <si>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</si>
  <si>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</si>
  <si>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</si>
  <si>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</si>
  <si>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</si>
  <si>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</si>
  <si>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</si>
  <si>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</si>
  <si>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</si>
  <si>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</si>
  <si>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</si>
  <si>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</si>
  <si>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</si>
  <si>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</si>
  <si>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</si>
  <si>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</si>
  <si>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</si>
  <si>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</si>
  <si>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</si>
  <si>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</si>
  <si>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</si>
  <si>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</si>
  <si>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</si>
  <si>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</si>
  <si>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</si>
  <si>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</si>
  <si>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</si>
  <si>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</si>
  <si>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</si>
  <si>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</si>
  <si>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</si>
  <si>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</si>
  <si>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</si>
  <si>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</si>
  <si>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</si>
  <si>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</si>
  <si>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</si>
  <si>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</si>
  <si>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</si>
  <si>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</si>
  <si>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</si>
  <si>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</si>
  <si>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</si>
  <si>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</si>
  <si>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</si>
  <si>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</si>
  <si>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</si>
  <si>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</si>
  <si>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</si>
  <si>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</si>
  <si>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</si>
  <si>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</si>
  <si>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</si>
  <si>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</si>
  <si>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</si>
  <si>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</si>
  <si>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</si>
  <si>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</si>
  <si>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</si>
  <si>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</si>
  <si>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</si>
  <si>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</si>
  <si>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</si>
  <si>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</si>
  <si>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</si>
  <si>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</si>
  <si>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</si>
  <si>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</si>
  <si>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</si>
  <si>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</si>
  <si>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</si>
  <si>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</si>
  <si>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</si>
  <si>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</si>
  <si>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</si>
  <si>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</si>
  <si>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</si>
  <si>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</si>
  <si>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</si>
  <si>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</si>
  <si>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</si>
  <si>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</si>
  <si>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</si>
  <si>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</si>
  <si>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</si>
  <si>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</si>
  <si>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</si>
  <si>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</si>
  <si>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</si>
  <si>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</si>
  <si>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</si>
  <si>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</si>
  <si>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</si>
  <si>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</si>
  <si>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</si>
  <si>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</si>
  <si>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</si>
  <si>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</si>
  <si>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</si>
  <si>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</si>
  <si>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</si>
  <si>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</si>
  <si>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</si>
  <si>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</si>
  <si>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</si>
  <si>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</si>
  <si>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</si>
  <si>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</si>
  <si>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</si>
  <si>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</si>
  <si>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</si>
  <si>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</si>
  <si>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</si>
  <si>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</si>
  <si>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</si>
  <si>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</si>
  <si>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</si>
  <si>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</si>
  <si>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</si>
  <si>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</si>
  <si>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</si>
  <si>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</si>
  <si>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</si>
  <si>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</si>
  <si>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</si>
  <si>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</si>
  <si>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</si>
  <si>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</si>
  <si>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</si>
  <si>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</si>
  <si>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</si>
  <si>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</si>
  <si>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</si>
  <si>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</si>
  <si>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</si>
  <si>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</si>
  <si>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</si>
  <si>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</si>
  <si>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</si>
  <si>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</si>
  <si>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</si>
  <si>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</si>
  <si>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</si>
  <si>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</si>
  <si>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</si>
  <si>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</si>
  <si>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</si>
  <si>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</si>
  <si>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</si>
  <si>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</si>
  <si>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</si>
  <si>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</si>
  <si>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</si>
  <si>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</si>
  <si>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</si>
  <si>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</si>
  <si>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</si>
  <si>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</si>
  <si>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</si>
  <si>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</si>
  <si>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</si>
  <si>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</si>
  <si>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</si>
  <si>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</si>
  <si>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</si>
  <si>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</si>
  <si>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</si>
  <si>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</si>
  <si>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</si>
  <si>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</si>
  <si>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</si>
  <si>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</si>
  <si>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</si>
  <si>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</si>
  <si>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</si>
  <si>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</si>
  <si>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</si>
  <si>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</si>
  <si>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</si>
  <si>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</si>
  <si>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</si>
  <si>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</si>
  <si>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</si>
  <si>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</si>
  <si>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</si>
  <si>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</si>
  <si>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</si>
  <si>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</si>
  <si>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</si>
  <si>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</si>
  <si>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</si>
  <si>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</si>
  <si>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</si>
  <si>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</si>
  <si>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</si>
  <si>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</si>
  <si>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</si>
  <si>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</si>
  <si>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</si>
  <si>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</si>
  <si>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</si>
  <si>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</si>
  <si>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</si>
  <si>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</si>
  <si>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</si>
  <si>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</si>
  <si>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</si>
  <si>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</si>
  <si>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</si>
  <si>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</si>
  <si>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</si>
  <si>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</si>
  <si>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</si>
  <si>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</si>
  <si>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</si>
  <si>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</si>
  <si>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</si>
  <si>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</si>
  <si>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</si>
  <si>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</si>
  <si>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</si>
  <si>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</si>
  <si>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</si>
  <si>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</si>
  <si>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</si>
  <si>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</si>
  <si>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</si>
  <si>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</si>
  <si>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</si>
  <si>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</si>
  <si>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</si>
  <si>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</si>
  <si>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</si>
  <si>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</si>
  <si>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</si>
  <si>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</si>
  <si>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</si>
  <si>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</si>
  <si>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</si>
  <si>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</si>
  <si>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</si>
  <si>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</si>
  <si>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</si>
  <si>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</si>
  <si>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</si>
  <si>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</si>
  <si>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</si>
  <si>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</si>
  <si>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</si>
  <si>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</si>
  <si>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</si>
  <si>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</si>
  <si>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</si>
  <si>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</si>
  <si>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</si>
  <si>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</si>
  <si>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</si>
  <si>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</si>
  <si>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</si>
  <si>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</si>
  <si>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</si>
  <si>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</si>
  <si>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</si>
  <si>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</si>
  <si>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</si>
  <si>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</si>
  <si>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</si>
  <si>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</si>
  <si>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</si>
  <si>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</si>
  <si>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</si>
  <si>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</si>
  <si>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</si>
  <si>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</si>
  <si>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</si>
  <si>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</si>
  <si>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</si>
  <si>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</si>
  <si>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</si>
  <si>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</si>
  <si>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</si>
  <si>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</si>
  <si>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</si>
  <si>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</si>
  <si>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</si>
  <si>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</si>
  <si>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</si>
  <si>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</si>
  <si>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</si>
  <si>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</si>
  <si>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</si>
  <si>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</si>
  <si>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</si>
  <si>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</si>
  <si>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</si>
  <si>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</si>
  <si>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</si>
  <si>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</si>
  <si>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</si>
  <si>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</si>
  <si>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</si>
  <si>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</si>
  <si>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</si>
  <si>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</si>
  <si>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</si>
  <si>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</si>
  <si>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</si>
  <si>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</si>
  <si>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</si>
  <si>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</si>
  <si>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</si>
  <si>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</si>
  <si>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</si>
  <si>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</si>
  <si>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</si>
  <si>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</si>
  <si>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</si>
  <si>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</si>
  <si>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</si>
  <si>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</si>
  <si>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</si>
  <si>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</si>
  <si>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</si>
  <si>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</si>
  <si>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</si>
  <si>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</si>
  <si>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</si>
  <si>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</si>
  <si>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</si>
  <si>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</si>
  <si>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</si>
  <si>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</si>
  <si>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</si>
  <si>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</si>
  <si>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</si>
  <si>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</si>
  <si>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</si>
  <si>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</si>
  <si>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</si>
  <si>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</si>
  <si>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</si>
  <si>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</si>
  <si>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</si>
  <si>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</si>
  <si>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</si>
  <si>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</si>
  <si>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</si>
  <si>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</si>
  <si>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</si>
  <si>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</si>
  <si>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</si>
  <si>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</si>
  <si>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</si>
  <si>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</si>
  <si>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</si>
  <si>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</si>
  <si>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</si>
  <si>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</si>
  <si>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</si>
  <si>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</si>
  <si>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</si>
  <si>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</si>
  <si>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</si>
  <si>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</si>
  <si>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</si>
  <si>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</si>
  <si>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</si>
  <si>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</si>
  <si>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</si>
  <si>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</si>
  <si>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</si>
  <si>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</si>
  <si>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</si>
  <si>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</si>
  <si>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</si>
  <si>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</si>
  <si>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</si>
  <si>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</si>
  <si>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</si>
  <si>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</si>
  <si>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</si>
  <si>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</si>
  <si>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</si>
  <si>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</si>
  <si>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</si>
  <si>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</si>
  <si>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</si>
  <si>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</si>
  <si>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</si>
  <si>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</si>
  <si>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</si>
  <si>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</si>
  <si>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</si>
  <si>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</si>
  <si>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</si>
  <si>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</si>
  <si>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</si>
  <si>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</si>
  <si>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</si>
  <si>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</si>
  <si>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</si>
  <si>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</si>
  <si>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</si>
  <si>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</si>
  <si>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</si>
  <si>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</si>
  <si>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</si>
  <si>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</si>
  <si>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</si>
  <si>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</si>
  <si>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</si>
  <si>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</si>
  <si>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</si>
  <si>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</si>
  <si>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</si>
  <si>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</si>
  <si>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</si>
  <si>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</si>
  <si>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</si>
  <si>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</si>
  <si>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</si>
  <si>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</si>
  <si>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</si>
  <si>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</si>
  <si>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</si>
  <si>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</si>
  <si>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</si>
  <si>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</si>
  <si>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</si>
  <si>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</si>
  <si>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</si>
  <si>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</si>
  <si>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</si>
  <si>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</si>
  <si>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</si>
  <si>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</si>
  <si>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</si>
  <si>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</si>
  <si>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</si>
  <si>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</si>
  <si>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</si>
  <si>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</si>
  <si>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</si>
  <si>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</si>
  <si>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</si>
  <si>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</si>
  <si>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</si>
  <si>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</si>
  <si>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</si>
  <si>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</si>
  <si>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</si>
  <si>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</si>
  <si>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</si>
  <si>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</si>
  <si>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</si>
  <si>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</si>
  <si>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</si>
  <si>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</si>
  <si>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</si>
  <si>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</si>
  <si>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</si>
  <si>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</si>
  <si>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</si>
  <si>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</si>
  <si>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</si>
  <si>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</si>
  <si>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</si>
  <si>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</si>
  <si>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</si>
  <si>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</si>
  <si>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</si>
  <si>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</si>
  <si>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</si>
  <si>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</si>
  <si>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</si>
  <si>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</si>
  <si>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</si>
  <si>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</si>
  <si>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</si>
  <si>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</si>
  <si>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</si>
  <si>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</si>
  <si>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</si>
  <si>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</si>
  <si>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</si>
  <si>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</si>
  <si>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</si>
  <si>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</si>
  <si>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</si>
  <si>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</si>
  <si>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</si>
  <si>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</si>
  <si>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</si>
  <si>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</si>
  <si>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</si>
  <si>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</si>
  <si>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</si>
  <si>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</si>
  <si>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</si>
  <si>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</si>
  <si>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</si>
  <si>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</si>
  <si>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</si>
  <si>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</si>
  <si>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</si>
  <si>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</si>
  <si>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</si>
  <si>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</si>
  <si>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</si>
  <si>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</si>
  <si>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</si>
  <si>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</si>
  <si>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</si>
  <si>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</si>
  <si>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</si>
  <si>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</si>
  <si>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</si>
  <si>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</si>
  <si>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</si>
  <si>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</si>
  <si>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</si>
  <si>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</si>
  <si>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</si>
  <si>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</si>
  <si>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</si>
  <si>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</si>
  <si>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</si>
  <si>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</si>
  <si>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</si>
  <si>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</si>
  <si>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</si>
  <si>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</si>
  <si>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</si>
  <si>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</si>
  <si>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</si>
  <si>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</si>
  <si>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</si>
  <si>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</si>
  <si>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</si>
  <si>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</si>
  <si>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</si>
  <si>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</si>
  <si>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</si>
  <si>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</si>
  <si>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</si>
  <si>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</si>
  <si>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</si>
  <si>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</si>
  <si>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</si>
  <si>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</si>
  <si>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</si>
  <si>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</si>
  <si>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</si>
  <si>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</si>
  <si>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</si>
  <si>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</si>
  <si>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</si>
  <si>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</si>
  <si>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</si>
  <si>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</si>
  <si>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</si>
  <si>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</si>
  <si>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</si>
  <si>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</si>
  <si>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</si>
  <si>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</si>
  <si>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</si>
  <si>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</si>
  <si>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</si>
  <si>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</si>
  <si>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</si>
  <si>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</si>
  <si>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</si>
  <si>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</si>
  <si>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</si>
  <si>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</si>
  <si>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</si>
  <si>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</si>
  <si>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</si>
  <si>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</si>
  <si>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</si>
  <si>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</si>
  <si>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</si>
  <si>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</si>
  <si>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</si>
  <si>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</si>
  <si>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</si>
  <si>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</si>
  <si>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</si>
  <si>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</si>
  <si>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</si>
  <si>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</si>
  <si>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</si>
  <si>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</si>
  <si>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</si>
  <si>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</si>
  <si>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</si>
  <si>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</si>
  <si>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</si>
  <si>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</si>
  <si>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</si>
  <si>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</si>
  <si>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</si>
  <si>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</si>
  <si>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</si>
  <si>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</si>
  <si>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</si>
  <si>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</si>
  <si>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</si>
  <si>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</si>
  <si>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</si>
  <si>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</si>
  <si>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</si>
  <si>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</si>
  <si>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</si>
  <si>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</si>
  <si>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</si>
  <si>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</si>
  <si>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</si>
  <si>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</si>
  <si>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</si>
  <si>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</si>
  <si>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</si>
  <si>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</si>
  <si>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</si>
  <si>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</si>
  <si>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</si>
  <si>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</si>
  <si>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</si>
  <si>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</si>
  <si>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</si>
  <si>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</si>
  <si>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</si>
  <si>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</si>
  <si>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</si>
  <si>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</si>
  <si>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</si>
  <si>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</si>
  <si>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</si>
  <si>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</si>
  <si>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</si>
  <si>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</si>
  <si>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</si>
  <si>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</si>
  <si>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</si>
  <si>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</si>
  <si>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</si>
  <si>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</si>
  <si>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</si>
  <si>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</si>
  <si>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2024 Shkurt</t>
  </si>
  <si>
    <t>2024 Janar</t>
  </si>
  <si>
    <t xml:space="preserve">2024 Mars 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</si>
  <si>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</si>
  <si>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</si>
  <si>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</si>
  <si>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</si>
  <si>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</si>
  <si>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</si>
  <si>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</si>
  <si>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 xml:space="preserve">2024 Nëntor 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</si>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</sst>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6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10" xfId="1" applyNumberFormat="1" applyFont="1" applyBorder="1"/>
    <xf numFmtId="164" fontId="17" fillId="34" borderId="10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4" fontId="17" fillId="34" borderId="10" xfId="1" applyNumberFormat="1" applyFont="1" applyFill="1" applyBorder="1"/>
    <xf numFmtId="164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4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4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4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4" fontId="21" fillId="2" borderId="10" xfId="1" applyNumberFormat="1" applyFont="1" applyFill="1" applyBorder="1" applyProtection="1">
      <protection hidden="1"/>
    </xf>
    <xf numFmtId="164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4" fontId="23" fillId="38" borderId="10" xfId="1" applyNumberFormat="1" applyFont="1" applyFill="1" applyBorder="1" applyAlignment="1" applyProtection="1">
      <alignment horizontal="center"/>
      <protection hidden="1"/>
    </xf>
    <xf numFmtId="164" fontId="21" fillId="2" borderId="11" xfId="1" applyNumberFormat="1" applyFont="1" applyFill="1" applyBorder="1" applyProtection="1">
      <protection hidden="1"/>
    </xf>
    <xf numFmtId="164" fontId="21" fillId="2" borderId="0" xfId="1" applyNumberFormat="1" applyFont="1" applyFill="1" applyProtection="1">
      <protection hidden="1"/>
    </xf>
    <xf numFmtId="164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4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4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4" fontId="21" fillId="2" borderId="12" xfId="1" applyNumberFormat="1" applyFont="1" applyFill="1" applyBorder="1" applyAlignment="1" applyProtection="1">
      <alignment horizontal="center"/>
      <protection hidden="1"/>
    </xf>
    <xf numFmtId="164" fontId="21" fillId="2" borderId="32" xfId="1" applyNumberFormat="1" applyFont="1" applyFill="1" applyBorder="1" applyAlignment="1" applyProtection="1">
      <alignment horizontal="center"/>
      <protection hidden="1"/>
    </xf>
    <xf numFmtId="164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4" fontId="21" fillId="38" borderId="11" xfId="1" applyNumberFormat="1" applyFont="1" applyFill="1" applyBorder="1" applyProtection="1">
      <protection hidden="1"/>
    </xf>
    <xf numFmtId="164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4" fontId="0" fillId="0" borderId="0" xfId="1" applyNumberFormat="1" applyFont="1" applyProtection="1">
      <protection hidden="1"/>
    </xf>
    <xf numFmtId="164" fontId="32" fillId="39" borderId="36" xfId="1" applyNumberFormat="1" applyFont="1" applyFill="1" applyBorder="1" applyAlignment="1" applyProtection="1">
      <alignment horizontal="center" vertical="center" wrapText="1"/>
    </xf>
    <xf numFmtId="164" fontId="0" fillId="2" borderId="0" xfId="1" applyNumberFormat="1" applyFont="1" applyFill="1" applyProtection="1">
      <protection hidden="1"/>
    </xf>
    <xf numFmtId="164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4" fontId="0" fillId="2" borderId="0" xfId="0" applyNumberFormat="1" applyFont="1" applyFill="1"/>
    <xf numFmtId="4" fontId="32" fillId="39" borderId="36" xfId="0" applyNumberFormat="1" applyFont="1" applyFill="1" applyBorder="1" applyAlignment="1" applyProtection="1">
      <alignment horizontal="right" vertical="center" wrapText="1"/>
    </xf>
    <xf numFmtId="43" fontId="0" fillId="2" borderId="0" xfId="1" applyFont="1" applyFill="1"/>
    <xf numFmtId="4" fontId="32" fillId="2" borderId="36" xfId="0" applyNumberFormat="1" applyFont="1" applyFill="1" applyBorder="1" applyAlignment="1" applyProtection="1">
      <alignment horizontal="right" vertical="center" wrapText="1"/>
    </xf>
    <xf numFmtId="164" fontId="21" fillId="38" borderId="23" xfId="1" applyNumberFormat="1" applyFont="1" applyFill="1" applyBorder="1" applyProtection="1">
      <protection hidden="1"/>
    </xf>
    <xf numFmtId="164" fontId="21" fillId="38" borderId="37" xfId="1" applyNumberFormat="1" applyFont="1" applyFill="1" applyBorder="1" applyProtection="1">
      <protection hidden="1"/>
    </xf>
    <xf numFmtId="164" fontId="21" fillId="2" borderId="13" xfId="1" applyNumberFormat="1" applyFont="1" applyFill="1" applyBorder="1" applyProtection="1">
      <protection hidden="1"/>
    </xf>
    <xf numFmtId="164" fontId="0" fillId="2" borderId="13" xfId="1" applyNumberFormat="1" applyFont="1" applyFill="1" applyBorder="1" applyProtection="1">
      <protection hidden="1"/>
    </xf>
    <xf numFmtId="43" fontId="0" fillId="2" borderId="0" xfId="0" applyNumberFormat="1" applyFont="1" applyFill="1"/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5"/>
  <sheetViews>
    <sheetView zoomScale="85" zoomScaleNormal="85" zoomScaleSheetLayoutView="80" workbookViewId="0">
      <pane xSplit="2" ySplit="5" topLeftCell="C101" activePane="bottomRight" state="frozen"/>
      <selection pane="topRight" activeCell="B1" sqref="B1"/>
      <selection pane="bottomLeft" activeCell="A6" sqref="A6"/>
      <selection pane="bottomRight" activeCell="AG121" sqref="AG121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51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52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53"/>
      <c r="B3" s="153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53"/>
      <c r="B4" s="153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56" t="str">
        <f>IF(L!$A$1=1,L!S4,IF(L!$A$1=2,L!S13,L!S23))</f>
        <v>Qeveria Lokale</v>
      </c>
      <c r="N4" s="119"/>
      <c r="O4" s="115"/>
      <c r="P4" s="115"/>
      <c r="Q4" s="115"/>
      <c r="R4" s="115"/>
      <c r="S4" s="155" t="s">
        <v>868</v>
      </c>
      <c r="T4" s="119"/>
      <c r="U4" s="115"/>
      <c r="V4" s="115"/>
      <c r="W4" s="115"/>
      <c r="X4" s="115"/>
      <c r="Y4" s="155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54"/>
      <c r="B5" s="154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56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55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55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48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48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48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48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48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48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48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48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48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48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48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48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48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48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48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48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48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48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48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48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48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48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49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49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49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50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48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48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48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48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48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48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48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48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48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49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49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49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50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48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48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48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48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48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48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48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48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48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49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49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49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50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48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48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48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48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48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48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48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48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48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49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49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49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50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48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48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48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48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48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48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48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48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48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49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49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49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50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48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48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48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48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48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48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48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48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48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49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49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49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50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0" x14ac:dyDescent="0.25">
      <c r="A97" s="148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0" x14ac:dyDescent="0.25">
      <c r="A98" s="148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0" x14ac:dyDescent="0.25">
      <c r="A99" s="148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0" x14ac:dyDescent="0.25">
      <c r="A100" s="148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0" x14ac:dyDescent="0.25">
      <c r="A101" s="148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0" x14ac:dyDescent="0.25">
      <c r="A102" s="148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0" s="132" customFormat="1" x14ac:dyDescent="0.25">
      <c r="A103" s="148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0" x14ac:dyDescent="0.25">
      <c r="A104" s="148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0" x14ac:dyDescent="0.25">
      <c r="A105" s="148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0" x14ac:dyDescent="0.25">
      <c r="A106" s="149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0" x14ac:dyDescent="0.25">
      <c r="A107" s="149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0" x14ac:dyDescent="0.25">
      <c r="A108" s="149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0" x14ac:dyDescent="0.25">
      <c r="A109" s="150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0" spans="1:30" x14ac:dyDescent="0.25">
      <c r="A110" s="148">
        <v>2023</v>
      </c>
      <c r="B110" s="103" t="str">
        <f>IF(L!$A$1=1,L!B231,IF(L!$A$1=2,L!C231,L!D231))</f>
        <v>2023 Janar</v>
      </c>
      <c r="C110" s="131">
        <f t="shared" ref="C110:C122" si="106">M110+S110+Y110</f>
        <v>828852.29</v>
      </c>
      <c r="D110" s="104">
        <f>E110+M110</f>
        <v>165097.18920999998</v>
      </c>
      <c r="E110" s="104">
        <f>F110+G110+H110+I110+L110</f>
        <v>57713.659209999998</v>
      </c>
      <c r="F110" s="104">
        <v>24846.235489999999</v>
      </c>
      <c r="G110" s="104">
        <v>1301.9379300000001</v>
      </c>
      <c r="H110" s="104">
        <v>469.39997</v>
      </c>
      <c r="I110" s="105">
        <f t="shared" ref="I110:I113" si="107">SUM(J110:K110)</f>
        <v>30409.931329999999</v>
      </c>
      <c r="J110" s="104">
        <v>27498.698</v>
      </c>
      <c r="K110" s="104">
        <v>2911.23333</v>
      </c>
      <c r="L110" s="104">
        <v>686.15449000000001</v>
      </c>
      <c r="M110" s="104">
        <f t="shared" ref="M110:M115" si="108">SUM(N110:R110)</f>
        <v>107383.52999999997</v>
      </c>
      <c r="N110" s="104">
        <f>827139.01-T110-Z110</f>
        <v>106393.52999999997</v>
      </c>
      <c r="O110" s="104">
        <f>723.28-U110</f>
        <v>0</v>
      </c>
      <c r="P110" s="104"/>
      <c r="Q110" s="104">
        <v>990</v>
      </c>
      <c r="R110" s="104"/>
      <c r="S110" s="131">
        <f t="shared" ref="S110:S115" si="109">SUM(T110:X110)</f>
        <v>576913.56000000006</v>
      </c>
      <c r="T110" s="104">
        <v>576190.28</v>
      </c>
      <c r="U110" s="104">
        <v>723.28</v>
      </c>
      <c r="V110" s="104"/>
      <c r="W110" s="104"/>
      <c r="X110" s="104"/>
      <c r="Y110" s="131">
        <f t="shared" ref="Y110:Y119" si="110">SUM(Z110:AD110)</f>
        <v>144555.20000000001</v>
      </c>
      <c r="Z110" s="104">
        <v>144555.20000000001</v>
      </c>
      <c r="AA110" s="104"/>
      <c r="AB110" s="104"/>
      <c r="AC110" s="104"/>
      <c r="AD110" s="104"/>
    </row>
    <row r="111" spans="1:30" x14ac:dyDescent="0.25">
      <c r="A111" s="148"/>
      <c r="B111" s="103" t="str">
        <f>IF(L!$A$1=1,L!B232,IF(L!$A$1=2,L!C232,L!D232))</f>
        <v>2023 Shkurt</v>
      </c>
      <c r="C111" s="131">
        <f t="shared" si="106"/>
        <v>1300989.0699999998</v>
      </c>
      <c r="D111" s="104">
        <f t="shared" ref="D111:D114" si="111">E111+M111</f>
        <v>404084.27056000003</v>
      </c>
      <c r="E111" s="104">
        <f t="shared" ref="E111:E114" si="112">F111+G111+H111+I111+L111</f>
        <v>87018.600559999992</v>
      </c>
      <c r="F111" s="104">
        <v>25348.27275</v>
      </c>
      <c r="G111" s="104">
        <v>12435.78448</v>
      </c>
      <c r="H111" s="104">
        <v>2584.5733500000001</v>
      </c>
      <c r="I111" s="105">
        <f t="shared" si="107"/>
        <v>35523.365980000002</v>
      </c>
      <c r="J111" s="104">
        <v>29987.650020000001</v>
      </c>
      <c r="K111" s="104">
        <v>5535.7159600000005</v>
      </c>
      <c r="L111" s="104">
        <v>11126.603999999999</v>
      </c>
      <c r="M111" s="104">
        <f t="shared" si="108"/>
        <v>317065.67000000004</v>
      </c>
      <c r="N111" s="104">
        <f>1013942.95-T111-Z111</f>
        <v>144759.87</v>
      </c>
      <c r="O111" s="104">
        <f>238951.17-U111-AA111</f>
        <v>149377.68000000002</v>
      </c>
      <c r="P111" s="104">
        <f>34714.95-V111-AB111</f>
        <v>19508.12</v>
      </c>
      <c r="Q111" s="104">
        <f>13380-AC111</f>
        <v>3420</v>
      </c>
      <c r="R111" s="104"/>
      <c r="S111" s="131">
        <f t="shared" si="109"/>
        <v>783556.02</v>
      </c>
      <c r="T111" s="104">
        <v>702126.58</v>
      </c>
      <c r="U111" s="104">
        <v>70442.52</v>
      </c>
      <c r="V111" s="104">
        <v>10986.92</v>
      </c>
      <c r="W111" s="104"/>
      <c r="X111" s="104"/>
      <c r="Y111" s="131">
        <f t="shared" si="110"/>
        <v>200367.38</v>
      </c>
      <c r="Z111" s="104">
        <v>167056.5</v>
      </c>
      <c r="AA111" s="104">
        <v>19130.97</v>
      </c>
      <c r="AB111" s="104">
        <v>4219.91</v>
      </c>
      <c r="AC111" s="104">
        <v>9960</v>
      </c>
      <c r="AD111" s="104"/>
    </row>
    <row r="112" spans="1:30" x14ac:dyDescent="0.25">
      <c r="A112" s="148"/>
      <c r="B112" s="103" t="str">
        <f>IF(L!$A$1=1,L!B233,IF(L!$A$1=2,L!C233,L!D233))</f>
        <v xml:space="preserve">2023 Mars </v>
      </c>
      <c r="C112" s="131">
        <f t="shared" si="106"/>
        <v>1589525.34</v>
      </c>
      <c r="D112" s="104">
        <f t="shared" si="111"/>
        <v>519922.03101999999</v>
      </c>
      <c r="E112" s="104">
        <f t="shared" si="112"/>
        <v>110996.73102000001</v>
      </c>
      <c r="F112" s="104">
        <v>24671.084579999999</v>
      </c>
      <c r="G112" s="104">
        <f>13602.18788+3.63797880709171E-12</f>
        <v>13602.187880000003</v>
      </c>
      <c r="H112" s="104">
        <v>1470.13113</v>
      </c>
      <c r="I112" s="105">
        <f t="shared" si="107"/>
        <v>41293.796000000002</v>
      </c>
      <c r="J112" s="104">
        <v>31926.155299999999</v>
      </c>
      <c r="K112" s="104">
        <v>9367.6406999999999</v>
      </c>
      <c r="L112" s="104">
        <v>29959.531429999999</v>
      </c>
      <c r="M112" s="104">
        <f t="shared" si="108"/>
        <v>408925.3</v>
      </c>
      <c r="N112" s="104">
        <f>1006632.89-T112-Z112</f>
        <v>135944.93999999997</v>
      </c>
      <c r="O112" s="104">
        <f>510671.45-U112-AA112</f>
        <v>235554.32</v>
      </c>
      <c r="P112" s="104">
        <f>47721-V112-AB112</f>
        <v>28126.04</v>
      </c>
      <c r="Q112" s="104">
        <f>24500-W112-AC112</f>
        <v>9300</v>
      </c>
      <c r="R112" s="104"/>
      <c r="S112" s="131">
        <f t="shared" si="109"/>
        <v>962821.9800000001</v>
      </c>
      <c r="T112" s="104">
        <v>704937.92</v>
      </c>
      <c r="U112" s="104">
        <v>238389.14</v>
      </c>
      <c r="V112" s="104">
        <v>19294.919999999998</v>
      </c>
      <c r="W112" s="140">
        <v>200</v>
      </c>
      <c r="X112" s="104"/>
      <c r="Y112" s="131">
        <f t="shared" si="110"/>
        <v>217778.06</v>
      </c>
      <c r="Z112" s="104">
        <v>165750.03</v>
      </c>
      <c r="AA112" s="104">
        <v>36727.99</v>
      </c>
      <c r="AB112" s="104">
        <v>300.04000000000002</v>
      </c>
      <c r="AC112" s="104">
        <v>15000</v>
      </c>
      <c r="AD112" s="104"/>
    </row>
    <row r="113" spans="1:30" x14ac:dyDescent="0.25">
      <c r="A113" s="148"/>
      <c r="B113" s="103" t="str">
        <f>IF(L!$A$1=1,L!B234,IF(L!$A$1=2,L!C234,L!D234))</f>
        <v>2023 Prill</v>
      </c>
      <c r="C113" s="131">
        <f t="shared" si="106"/>
        <v>1489424.58</v>
      </c>
      <c r="D113" s="104">
        <f t="shared" si="111"/>
        <v>487915.11502000003</v>
      </c>
      <c r="E113" s="104">
        <f t="shared" si="112"/>
        <v>99928.195020000014</v>
      </c>
      <c r="F113" s="104">
        <v>25058.463449999999</v>
      </c>
      <c r="G113" s="104">
        <v>13938.50973</v>
      </c>
      <c r="H113" s="104">
        <v>1722.8931499999999</v>
      </c>
      <c r="I113" s="105">
        <f t="shared" si="107"/>
        <v>40998.962180000002</v>
      </c>
      <c r="J113" s="104">
        <v>31609.135450000002</v>
      </c>
      <c r="K113" s="104">
        <f>9389.82673</f>
        <v>9389.8267300000007</v>
      </c>
      <c r="L113" s="104">
        <v>18209.36651</v>
      </c>
      <c r="M113" s="104">
        <f t="shared" si="108"/>
        <v>387986.92000000004</v>
      </c>
      <c r="N113" s="104">
        <f>1012245.53-T113-Z113</f>
        <v>142018.66000000003</v>
      </c>
      <c r="O113" s="104">
        <f>400878.83-U113-AA113</f>
        <v>197036.35000000003</v>
      </c>
      <c r="P113" s="104">
        <f>52100.22-V113-AB113</f>
        <v>35731.910000000003</v>
      </c>
      <c r="Q113" s="104">
        <f>13200</f>
        <v>13200</v>
      </c>
      <c r="R113" s="104"/>
      <c r="S113" s="131">
        <f t="shared" si="109"/>
        <v>875601.65</v>
      </c>
      <c r="T113" s="104">
        <v>705213.48</v>
      </c>
      <c r="U113" s="104">
        <v>162972.60999999999</v>
      </c>
      <c r="V113" s="104">
        <v>7415.56</v>
      </c>
      <c r="W113" s="88"/>
      <c r="X113" s="104"/>
      <c r="Y113" s="131">
        <f t="shared" si="110"/>
        <v>225836.01</v>
      </c>
      <c r="Z113" s="104">
        <v>165013.39000000001</v>
      </c>
      <c r="AA113" s="104">
        <v>40869.870000000003</v>
      </c>
      <c r="AB113" s="104">
        <v>8952.75</v>
      </c>
      <c r="AC113" s="104"/>
      <c r="AD113" s="104">
        <v>11000</v>
      </c>
    </row>
    <row r="114" spans="1:30" x14ac:dyDescent="0.25">
      <c r="A114" s="148"/>
      <c r="B114" s="103" t="str">
        <f>IF(L!$A$1=1,L!B235,IF(L!$A$1=2,L!C235,L!D235))</f>
        <v>2023 Maj</v>
      </c>
      <c r="C114" s="131">
        <f t="shared" si="106"/>
        <v>1568616.08</v>
      </c>
      <c r="D114" s="104">
        <f t="shared" si="111"/>
        <v>577284.32749000005</v>
      </c>
      <c r="E114" s="104">
        <f t="shared" si="112"/>
        <v>108203.85748999999</v>
      </c>
      <c r="F114" s="104">
        <v>25176.423500000001</v>
      </c>
      <c r="G114" s="104">
        <v>14788.43672</v>
      </c>
      <c r="H114" s="104">
        <v>1029.37871</v>
      </c>
      <c r="I114" s="105">
        <f>SUM(J114:K114)</f>
        <v>39702.245540000004</v>
      </c>
      <c r="J114" s="104">
        <v>31959.173699999999</v>
      </c>
      <c r="K114" s="104">
        <f>7742.36933+0.70251</f>
        <v>7743.0718400000005</v>
      </c>
      <c r="L114" s="104">
        <v>27507.373019999999</v>
      </c>
      <c r="M114" s="104">
        <f t="shared" si="108"/>
        <v>469080.47000000009</v>
      </c>
      <c r="N114" s="104">
        <f>1020764.04-T114-Z114</f>
        <v>143183.19</v>
      </c>
      <c r="O114" s="104">
        <f>355715.33-U114-AA114</f>
        <v>182237.40000000002</v>
      </c>
      <c r="P114" s="104">
        <f>48240.3-V114-AB114</f>
        <v>27613.47</v>
      </c>
      <c r="Q114" s="104">
        <f>108330.4-W114-AC114</f>
        <v>80480.399999999994</v>
      </c>
      <c r="R114" s="104">
        <v>35566.01</v>
      </c>
      <c r="S114" s="131">
        <f t="shared" si="109"/>
        <v>882567.95000000007</v>
      </c>
      <c r="T114" s="104">
        <v>706725.3</v>
      </c>
      <c r="U114" s="104">
        <v>144771.25</v>
      </c>
      <c r="V114" s="104">
        <v>15671.4</v>
      </c>
      <c r="W114" s="142">
        <v>15400</v>
      </c>
      <c r="X114" s="104"/>
      <c r="Y114" s="131">
        <f t="shared" si="110"/>
        <v>216967.65999999997</v>
      </c>
      <c r="Z114" s="104">
        <v>170855.55</v>
      </c>
      <c r="AA114" s="104">
        <v>28706.68</v>
      </c>
      <c r="AB114" s="104">
        <v>4955.43</v>
      </c>
      <c r="AC114" s="104">
        <v>12450</v>
      </c>
      <c r="AD114" s="104"/>
    </row>
    <row r="115" spans="1:30" x14ac:dyDescent="0.25">
      <c r="A115" s="148"/>
      <c r="B115" s="103" t="str">
        <f>IF(L!$A$1=1,L!B236,IF(L!$A$1=2,L!C236,L!D236))</f>
        <v>2023 Qershor</v>
      </c>
      <c r="C115" s="131">
        <f t="shared" si="106"/>
        <v>1538270.85</v>
      </c>
      <c r="D115" s="104">
        <f>E115+M115</f>
        <v>542814.55578000005</v>
      </c>
      <c r="E115" s="104">
        <f>F115+G115+H115+I115+L115</f>
        <v>106702.39577999998</v>
      </c>
      <c r="F115" s="104">
        <v>25102.682019999993</v>
      </c>
      <c r="G115" s="104">
        <v>10844.51352</v>
      </c>
      <c r="H115" s="104">
        <v>772.52707000000009</v>
      </c>
      <c r="I115" s="105">
        <f>SUM(J115:K115)</f>
        <v>39202.052119999978</v>
      </c>
      <c r="J115" s="104">
        <v>32126.547020000002</v>
      </c>
      <c r="K115" s="104">
        <v>7075.5050999999803</v>
      </c>
      <c r="L115" s="104">
        <v>30780.621050000002</v>
      </c>
      <c r="M115" s="104">
        <f t="shared" si="108"/>
        <v>436112.16000000003</v>
      </c>
      <c r="N115" s="104">
        <f>1057025.52-T115-Z115</f>
        <v>158279.39999999997</v>
      </c>
      <c r="O115" s="104">
        <f>401784.09-U115-AA115</f>
        <v>232202.75000000003</v>
      </c>
      <c r="P115" s="104">
        <f>34226.24-V115-AB115</f>
        <v>21445.009999999995</v>
      </c>
      <c r="Q115" s="104">
        <f>45235-W115-AC115</f>
        <v>24185</v>
      </c>
      <c r="R115" s="104"/>
      <c r="S115" s="131">
        <f t="shared" si="109"/>
        <v>902844.67000000016</v>
      </c>
      <c r="T115" s="104">
        <v>737767.17</v>
      </c>
      <c r="U115" s="104">
        <v>148248.44</v>
      </c>
      <c r="V115" s="104">
        <v>8129.06</v>
      </c>
      <c r="W115" s="104">
        <v>8700</v>
      </c>
      <c r="X115" s="104"/>
      <c r="Y115" s="131">
        <f t="shared" si="110"/>
        <v>199314.02000000002</v>
      </c>
      <c r="Z115" s="104">
        <v>160978.95000000001</v>
      </c>
      <c r="AA115" s="104">
        <v>21332.9</v>
      </c>
      <c r="AB115" s="104">
        <v>4652.17</v>
      </c>
      <c r="AC115" s="104">
        <v>12350</v>
      </c>
      <c r="AD115" s="104"/>
    </row>
    <row r="116" spans="1:30" s="132" customFormat="1" x14ac:dyDescent="0.25">
      <c r="A116" s="148"/>
      <c r="B116" s="103" t="str">
        <f>IF(L!$A$1=1,L!B237,IF(L!$A$1=2,L!C237,L!D237))</f>
        <v>2023 Korrik</v>
      </c>
      <c r="C116" s="131">
        <f t="shared" si="106"/>
        <v>1562429.5400000003</v>
      </c>
      <c r="D116" s="104">
        <f>E116+M116</f>
        <v>627866.7773800001</v>
      </c>
      <c r="E116" s="104">
        <f>F116+G116+H116+I116+L116</f>
        <v>109225.46738000003</v>
      </c>
      <c r="F116" s="104">
        <v>24978.209360000001</v>
      </c>
      <c r="G116" s="104">
        <v>11062.969240000006</v>
      </c>
      <c r="H116" s="104">
        <v>935.6237799999999</v>
      </c>
      <c r="I116" s="105">
        <f>SUM(J116:K116)</f>
        <v>45737.674990000021</v>
      </c>
      <c r="J116" s="104">
        <v>36228.048600000002</v>
      </c>
      <c r="K116" s="104">
        <v>9509.6263900000195</v>
      </c>
      <c r="L116" s="104">
        <v>26510.990009999994</v>
      </c>
      <c r="M116" s="104">
        <f>SUM(N116:R116)</f>
        <v>518641.31000000011</v>
      </c>
      <c r="N116" s="104">
        <f>1058978.37-T116-Z117</f>
        <v>180109.89000000013</v>
      </c>
      <c r="O116" s="104">
        <f>240636.91-U116-AA116</f>
        <v>152564.67000000001</v>
      </c>
      <c r="P116" s="104">
        <f>25901-V116-AB116</f>
        <v>16943.599999999999</v>
      </c>
      <c r="Q116" s="104">
        <f>56751.1-W116-AC116</f>
        <v>54151.1</v>
      </c>
      <c r="R116" s="104">
        <f>169843.97-X116</f>
        <v>114872.05</v>
      </c>
      <c r="S116" s="131">
        <f>SUM(T116:X116)</f>
        <v>878924.39</v>
      </c>
      <c r="T116" s="104">
        <v>730230.24</v>
      </c>
      <c r="U116" s="104">
        <v>82764.83</v>
      </c>
      <c r="V116" s="104">
        <v>8957.4</v>
      </c>
      <c r="W116" s="104">
        <v>2000</v>
      </c>
      <c r="X116" s="104">
        <v>54971.92</v>
      </c>
      <c r="Y116" s="131">
        <f t="shared" si="110"/>
        <v>164863.84</v>
      </c>
      <c r="Z116" s="104">
        <v>158956.43</v>
      </c>
      <c r="AA116" s="104">
        <v>5307.41</v>
      </c>
      <c r="AC116" s="104">
        <v>600</v>
      </c>
      <c r="AD116" s="104"/>
    </row>
    <row r="117" spans="1:30" x14ac:dyDescent="0.25">
      <c r="A117" s="148"/>
      <c r="B117" s="103" t="str">
        <f>IF(L!$A$1=1,L!B238,IF(L!$A$1=2,L!C238,L!D238))</f>
        <v>2023 Gusht</v>
      </c>
      <c r="C117" s="131">
        <f t="shared" si="106"/>
        <v>2238432.4600000004</v>
      </c>
      <c r="D117" s="104">
        <f>E117+M117</f>
        <v>944364.01390000002</v>
      </c>
      <c r="E117" s="104">
        <f>F117+G117+H117+I117+L117</f>
        <v>106809.34389999999</v>
      </c>
      <c r="F117" s="104">
        <v>24661.182910000003</v>
      </c>
      <c r="G117" s="104">
        <v>11634.678899999999</v>
      </c>
      <c r="H117" s="104">
        <v>785.79655000000093</v>
      </c>
      <c r="I117" s="105">
        <f>SUM(J117:K117)</f>
        <v>36402.685249999995</v>
      </c>
      <c r="J117" s="104">
        <v>27800.572889999999</v>
      </c>
      <c r="K117" s="104">
        <v>8602.1123599999992</v>
      </c>
      <c r="L117" s="104">
        <v>33325.000289999996</v>
      </c>
      <c r="M117" s="104">
        <f>SUM(N117:R117)</f>
        <v>837554.67</v>
      </c>
      <c r="N117" s="104">
        <f>1012829.81-T117-Z117</f>
        <v>154412.80000000005</v>
      </c>
      <c r="O117" s="104">
        <f>359142.33-U117-AA117</f>
        <v>189294.47000000003</v>
      </c>
      <c r="P117" s="104">
        <f>30329.97-V117-AB117</f>
        <v>21781.739999999998</v>
      </c>
      <c r="Q117" s="104">
        <f>123320-W117-AC117</f>
        <v>53365</v>
      </c>
      <c r="R117" s="104">
        <f>712810.35-X117-AD117</f>
        <v>418700.66</v>
      </c>
      <c r="S117" s="131">
        <f>SUM(T117:X117)</f>
        <v>1073718.3600000001</v>
      </c>
      <c r="T117" s="127">
        <v>709778.77</v>
      </c>
      <c r="U117" s="127">
        <v>115447.09</v>
      </c>
      <c r="V117" s="127">
        <v>5598.81</v>
      </c>
      <c r="W117" s="127">
        <v>47425</v>
      </c>
      <c r="X117" s="127">
        <v>195468.69</v>
      </c>
      <c r="Y117" s="131">
        <f t="shared" si="110"/>
        <v>327159.43</v>
      </c>
      <c r="Z117" s="104">
        <v>148638.24</v>
      </c>
      <c r="AA117" s="104">
        <v>54400.77</v>
      </c>
      <c r="AB117" s="104">
        <v>2949.42</v>
      </c>
      <c r="AC117" s="104">
        <v>22530</v>
      </c>
      <c r="AD117" s="104">
        <v>98641</v>
      </c>
    </row>
    <row r="118" spans="1:30" x14ac:dyDescent="0.25">
      <c r="A118" s="148"/>
      <c r="B118" s="103" t="str">
        <f>IF(L!$A$1=1,L!B239,IF(L!$A$1=2,L!C239,L!D239))</f>
        <v>2023 Shtator</v>
      </c>
      <c r="C118" s="131">
        <f t="shared" si="106"/>
        <v>2034972.6199999999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>
        <f t="shared" ref="M118:M121" si="113">SUM(N118:R118)</f>
        <v>1110792.0899999999</v>
      </c>
      <c r="N118" s="104">
        <f>1011954.19-T118-Z118</f>
        <v>352475.08999999997</v>
      </c>
      <c r="O118" s="104">
        <f>403790.77-U118-AA118</f>
        <v>294579.5</v>
      </c>
      <c r="P118" s="104">
        <f>23608.24-V118-AB118</f>
        <v>16852.86</v>
      </c>
      <c r="Q118" s="104">
        <f>113475-W118-AC118</f>
        <v>110975</v>
      </c>
      <c r="R118" s="104">
        <f>482144.42-X118</f>
        <v>335909.64</v>
      </c>
      <c r="S118" s="143">
        <f t="shared" ref="S118:S121" si="114">SUM(T118:X118)</f>
        <v>719133.14</v>
      </c>
      <c r="T118" s="145">
        <v>497500.3</v>
      </c>
      <c r="U118" s="145">
        <v>70149.490000000005</v>
      </c>
      <c r="V118" s="145">
        <v>3448.57</v>
      </c>
      <c r="W118" s="145">
        <v>1800</v>
      </c>
      <c r="X118" s="145">
        <v>146234.78</v>
      </c>
      <c r="Y118" s="144">
        <f t="shared" si="110"/>
        <v>205047.38999999998</v>
      </c>
      <c r="Z118" s="104">
        <v>161978.79999999999</v>
      </c>
      <c r="AA118" s="104">
        <v>39061.78</v>
      </c>
      <c r="AB118" s="104">
        <v>3306.81</v>
      </c>
      <c r="AC118" s="104">
        <v>700</v>
      </c>
      <c r="AD118" s="104"/>
    </row>
    <row r="119" spans="1:30" x14ac:dyDescent="0.25">
      <c r="A119" s="149"/>
      <c r="B119" s="103" t="str">
        <f>IF(L!$A$1=1,L!B240,IF(L!$A$1=2,L!C240,L!D240))</f>
        <v>2023 Tetor</v>
      </c>
      <c r="C119" s="131">
        <f t="shared" si="106"/>
        <v>3337216.6600000006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>
        <f t="shared" si="113"/>
        <v>2120733.87</v>
      </c>
      <c r="N119" s="104">
        <f>1055346.71-T119-Z119</f>
        <v>356923.66999999993</v>
      </c>
      <c r="O119" s="104">
        <f>411114.26-U119-AA119</f>
        <v>231427.66999999998</v>
      </c>
      <c r="P119" s="104">
        <f>37402.32-V119-AB119</f>
        <v>23129.809999999998</v>
      </c>
      <c r="Q119" s="104">
        <f>342950.15-W119-AC119</f>
        <v>214210.00000000006</v>
      </c>
      <c r="R119" s="104">
        <f>1490403.22-X119-AD119</f>
        <v>1295042.72</v>
      </c>
      <c r="S119" s="143">
        <f t="shared" si="114"/>
        <v>843384.90000000014</v>
      </c>
      <c r="T119" s="146">
        <v>536046.89</v>
      </c>
      <c r="U119" s="146">
        <v>144679.70000000001</v>
      </c>
      <c r="V119" s="146">
        <v>5386.52</v>
      </c>
      <c r="W119" s="146">
        <v>5045.29</v>
      </c>
      <c r="X119" s="146">
        <v>152226.5</v>
      </c>
      <c r="Y119" s="144">
        <f t="shared" si="110"/>
        <v>373097.88999999996</v>
      </c>
      <c r="Z119" s="104">
        <v>162376.15</v>
      </c>
      <c r="AA119" s="137">
        <v>35006.89</v>
      </c>
      <c r="AB119" s="137">
        <v>8885.99</v>
      </c>
      <c r="AC119" s="137">
        <v>123694.86</v>
      </c>
      <c r="AD119" s="104">
        <v>43134</v>
      </c>
    </row>
    <row r="120" spans="1:30" x14ac:dyDescent="0.25">
      <c r="A120" s="149"/>
      <c r="B120" s="103" t="str">
        <f>IF(L!$A$1=1,L!B241,IF(L!$A$1=2,L!C241,L!D241))</f>
        <v xml:space="preserve">2023 Nëntor </v>
      </c>
      <c r="C120" s="131">
        <f t="shared" si="106"/>
        <v>2815708.5199999996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>
        <f t="shared" si="113"/>
        <v>1702076.4</v>
      </c>
      <c r="N120" s="104">
        <f>1015236.87-T120-Z120</f>
        <v>358083.42</v>
      </c>
      <c r="O120" s="104">
        <f>385451.57-U120-AA119</f>
        <v>279774.38</v>
      </c>
      <c r="P120" s="104">
        <f>36166.03-V120-AB120</f>
        <v>23098.719999999998</v>
      </c>
      <c r="Q120" s="104">
        <f>184806.5-W120-AC119</f>
        <v>39261.64</v>
      </c>
      <c r="R120" s="104">
        <f>1244765.33-X120-AD120</f>
        <v>1001858.24</v>
      </c>
      <c r="S120" s="131">
        <f t="shared" si="114"/>
        <v>660819.49</v>
      </c>
      <c r="T120" s="146">
        <v>497042.33</v>
      </c>
      <c r="U120" s="146">
        <v>70670.3</v>
      </c>
      <c r="V120" s="146">
        <v>11639.26</v>
      </c>
      <c r="W120" s="146">
        <v>21850</v>
      </c>
      <c r="X120" s="146">
        <v>59617.599999999999</v>
      </c>
      <c r="Y120" s="131">
        <f t="shared" ref="Y120:Y121" si="115">SUM(Z120:AD120)</f>
        <v>452812.63</v>
      </c>
      <c r="Z120" s="104">
        <v>160111.12</v>
      </c>
      <c r="AA120" s="104">
        <v>99733.97</v>
      </c>
      <c r="AB120" s="104">
        <v>1428.05</v>
      </c>
      <c r="AC120" s="104">
        <v>8250</v>
      </c>
      <c r="AD120" s="104">
        <v>183289.49</v>
      </c>
    </row>
    <row r="121" spans="1:30" x14ac:dyDescent="0.25">
      <c r="A121" s="149"/>
      <c r="B121" s="103" t="str">
        <f>IF(L!$A$1=1,L!B242,IF(L!$A$1=2,L!C242,L!D242))</f>
        <v>2023 Dhjetor</v>
      </c>
      <c r="C121" s="131">
        <f t="shared" si="106"/>
        <v>5897944.1900000013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>
        <f t="shared" si="113"/>
        <v>4040831.8200000003</v>
      </c>
      <c r="N121" s="104">
        <f>1049359.94-T121-Z121</f>
        <v>382916.58999999997</v>
      </c>
      <c r="O121" s="104">
        <f>712493.09-U121-AA121</f>
        <v>240075.69</v>
      </c>
      <c r="P121" s="104">
        <f>77047.97-V121-AB121</f>
        <v>40257.33</v>
      </c>
      <c r="Q121" s="104">
        <f>102274.95-W121-AC121</f>
        <v>58030</v>
      </c>
      <c r="R121" s="104">
        <f>3956768.24-X121-AD121</f>
        <v>3319552.2100000004</v>
      </c>
      <c r="S121" s="131">
        <f t="shared" si="114"/>
        <v>1069540.81</v>
      </c>
      <c r="T121" s="104">
        <v>495864.69</v>
      </c>
      <c r="U121" s="104">
        <v>115137.31</v>
      </c>
      <c r="V121" s="104">
        <v>26056.35</v>
      </c>
      <c r="W121" s="104">
        <v>39844.949999999997</v>
      </c>
      <c r="X121" s="104">
        <v>392637.51</v>
      </c>
      <c r="Y121" s="131">
        <f t="shared" si="115"/>
        <v>787571.56</v>
      </c>
      <c r="Z121" s="104">
        <v>170578.66</v>
      </c>
      <c r="AA121" s="104">
        <v>357280.09</v>
      </c>
      <c r="AB121" s="104">
        <v>10734.29</v>
      </c>
      <c r="AC121" s="104">
        <v>4400</v>
      </c>
      <c r="AD121" s="104">
        <v>244578.52</v>
      </c>
    </row>
    <row r="122" spans="1:30" x14ac:dyDescent="0.25">
      <c r="A122" s="150"/>
      <c r="B122" s="124" t="str">
        <f>IF(L!$A$1=1,L!B243,IF(L!$A$1=2,L!C243,L!D243))</f>
        <v>Gjithsej 2023</v>
      </c>
      <c r="C122" s="123">
        <f t="shared" si="106"/>
        <v>26202382.200000003</v>
      </c>
      <c r="D122" s="123">
        <f>E122+M122</f>
        <v>13243782.460360002</v>
      </c>
      <c r="E122" s="123">
        <f>F122+G122+H122+I122+L122</f>
        <v>786598.25035999995</v>
      </c>
      <c r="F122" s="123">
        <f t="shared" ref="F122:L122" si="116">SUM(F110:F121)</f>
        <v>199842.55405999999</v>
      </c>
      <c r="G122" s="123">
        <f t="shared" si="116"/>
        <v>89609.018400000001</v>
      </c>
      <c r="H122" s="123">
        <f t="shared" si="116"/>
        <v>9770.3237100000006</v>
      </c>
      <c r="I122" s="123">
        <f t="shared" si="116"/>
        <v>309270.71338999999</v>
      </c>
      <c r="J122" s="121">
        <f t="shared" si="116"/>
        <v>249135.98098000002</v>
      </c>
      <c r="K122" s="121">
        <f t="shared" si="116"/>
        <v>60134.732409999997</v>
      </c>
      <c r="L122" s="121">
        <f t="shared" si="116"/>
        <v>178105.64079999999</v>
      </c>
      <c r="M122" s="121">
        <f>SUM(N122:R122)</f>
        <v>12457184.210000001</v>
      </c>
      <c r="N122" s="121">
        <f t="shared" ref="N122:R122" si="117">SUM(N110:N121)</f>
        <v>2615501.0499999998</v>
      </c>
      <c r="O122" s="121">
        <f t="shared" si="117"/>
        <v>2384124.88</v>
      </c>
      <c r="P122" s="121">
        <f t="shared" si="117"/>
        <v>274488.61</v>
      </c>
      <c r="Q122" s="121">
        <f t="shared" si="117"/>
        <v>661568.14</v>
      </c>
      <c r="R122" s="121">
        <f t="shared" si="117"/>
        <v>6521501.5300000012</v>
      </c>
      <c r="S122" s="121">
        <f>SUM(T122:X122)</f>
        <v>10229826.92</v>
      </c>
      <c r="T122" s="121">
        <f t="shared" ref="T122:X122" si="118">SUM(T110:T121)</f>
        <v>7599423.9500000002</v>
      </c>
      <c r="U122" s="121">
        <f t="shared" si="118"/>
        <v>1364395.96</v>
      </c>
      <c r="V122" s="121">
        <f t="shared" si="118"/>
        <v>122584.76999999999</v>
      </c>
      <c r="W122" s="121">
        <f t="shared" si="118"/>
        <v>142265.24</v>
      </c>
      <c r="X122" s="121">
        <f t="shared" si="118"/>
        <v>1001157</v>
      </c>
      <c r="Y122" s="121">
        <f>SUM(Z122:AD122)</f>
        <v>3515371.0699999994</v>
      </c>
      <c r="Z122" s="121">
        <f t="shared" ref="Z122:AD122" si="119">SUM(Z110:Z121)</f>
        <v>1936849.0199999998</v>
      </c>
      <c r="AA122" s="121">
        <f t="shared" si="119"/>
        <v>737559.32000000007</v>
      </c>
      <c r="AB122" s="121">
        <f t="shared" si="119"/>
        <v>50384.860000000008</v>
      </c>
      <c r="AC122" s="121">
        <f t="shared" si="119"/>
        <v>209934.86</v>
      </c>
      <c r="AD122" s="121">
        <f t="shared" si="119"/>
        <v>580643.01</v>
      </c>
    </row>
    <row r="123" spans="1:30" x14ac:dyDescent="0.25">
      <c r="A123" s="148">
        <v>2024</v>
      </c>
      <c r="B123" s="103" t="s">
        <v>879</v>
      </c>
      <c r="C123" s="131">
        <f t="shared" ref="C123:C135" si="120">M123+S123+Y123</f>
        <v>1328662.4500000002</v>
      </c>
      <c r="D123" s="104">
        <f>E123+M123</f>
        <v>410950.16921000008</v>
      </c>
      <c r="E123" s="104">
        <f>F123+G123+H123+I123+L123</f>
        <v>57713.659209999998</v>
      </c>
      <c r="F123" s="104">
        <v>24846.235489999999</v>
      </c>
      <c r="G123" s="104">
        <v>1301.9379300000001</v>
      </c>
      <c r="H123" s="104">
        <v>469.39997</v>
      </c>
      <c r="I123" s="105">
        <f t="shared" ref="I123:I126" si="121">SUM(J123:K123)</f>
        <v>30409.931329999999</v>
      </c>
      <c r="J123" s="104">
        <v>27498.698</v>
      </c>
      <c r="K123" s="104">
        <v>2911.23333</v>
      </c>
      <c r="L123" s="104">
        <v>686.15449000000001</v>
      </c>
      <c r="M123" s="104">
        <f t="shared" ref="M123:M128" si="122">SUM(N123:R123)</f>
        <v>353236.51000000007</v>
      </c>
      <c r="N123" s="104">
        <f>1064420.85-T123-Z123</f>
        <v>159241.58000000007</v>
      </c>
      <c r="O123" s="104">
        <f>212071.57-U123-AA123</f>
        <v>163572.25000000003</v>
      </c>
      <c r="P123" s="104">
        <f>41270.03-V123-AB123</f>
        <v>24822.679999999997</v>
      </c>
      <c r="Q123" s="104">
        <f>10900-W123-AC123</f>
        <v>5600</v>
      </c>
      <c r="R123" s="104"/>
      <c r="S123" s="131">
        <f t="shared" ref="S123:S128" si="123">SUM(T123:X123)</f>
        <v>787821.33000000007</v>
      </c>
      <c r="T123" s="146">
        <v>737718.52</v>
      </c>
      <c r="U123" s="104">
        <v>34517.519999999997</v>
      </c>
      <c r="V123" s="104">
        <v>12485.29</v>
      </c>
      <c r="W123" s="104">
        <v>3100</v>
      </c>
      <c r="X123" s="104"/>
      <c r="Y123" s="131">
        <f t="shared" ref="Y123:Y132" si="124">SUM(Z123:AD123)</f>
        <v>187604.61</v>
      </c>
      <c r="Z123" s="104">
        <v>167460.75</v>
      </c>
      <c r="AA123" s="104">
        <v>13981.8</v>
      </c>
      <c r="AB123" s="104">
        <v>3962.06</v>
      </c>
      <c r="AC123" s="104">
        <v>2200</v>
      </c>
      <c r="AD123" s="104"/>
    </row>
    <row r="124" spans="1:30" x14ac:dyDescent="0.25">
      <c r="A124" s="148"/>
      <c r="B124" s="103" t="s">
        <v>878</v>
      </c>
      <c r="C124" s="131">
        <f t="shared" si="120"/>
        <v>3015940.7</v>
      </c>
      <c r="D124" s="104">
        <f t="shared" ref="D124:D127" si="125">E124+M124</f>
        <v>954975.3505599997</v>
      </c>
      <c r="E124" s="104">
        <f t="shared" ref="E124:E127" si="126">F124+G124+H124+I124+L124</f>
        <v>87018.600559999992</v>
      </c>
      <c r="F124" s="104">
        <v>25348.27275</v>
      </c>
      <c r="G124" s="104">
        <v>12435.78448</v>
      </c>
      <c r="H124" s="104">
        <v>2584.5733500000001</v>
      </c>
      <c r="I124" s="105">
        <f t="shared" si="121"/>
        <v>35523.365980000002</v>
      </c>
      <c r="J124" s="104">
        <v>29987.650020000001</v>
      </c>
      <c r="K124" s="104">
        <v>5535.7159600000005</v>
      </c>
      <c r="L124" s="104">
        <v>11126.603999999999</v>
      </c>
      <c r="M124" s="104">
        <f t="shared" si="122"/>
        <v>867956.74999999977</v>
      </c>
      <c r="N124" s="104">
        <v>368517.92999999982</v>
      </c>
      <c r="O124" s="104">
        <v>246761.07</v>
      </c>
      <c r="P124" s="104">
        <v>24927.75</v>
      </c>
      <c r="Q124" s="104">
        <v>11750</v>
      </c>
      <c r="R124" s="104">
        <v>216000</v>
      </c>
      <c r="S124" s="131">
        <f t="shared" si="123"/>
        <v>1904936.54</v>
      </c>
      <c r="T124" s="104">
        <v>1691456.01</v>
      </c>
      <c r="U124" s="104">
        <v>189991.58</v>
      </c>
      <c r="V124" s="104">
        <v>12488.95</v>
      </c>
      <c r="W124" s="104">
        <v>11000</v>
      </c>
      <c r="X124" s="104"/>
      <c r="Y124" s="131">
        <f t="shared" si="124"/>
        <v>243047.41</v>
      </c>
      <c r="Z124" s="104">
        <v>170733.42</v>
      </c>
      <c r="AA124" s="104">
        <v>46522.44</v>
      </c>
      <c r="AB124" s="104">
        <v>4481.55</v>
      </c>
      <c r="AC124" s="104">
        <v>21310</v>
      </c>
      <c r="AD124" s="104"/>
    </row>
    <row r="125" spans="1:30" x14ac:dyDescent="0.25">
      <c r="A125" s="148"/>
      <c r="B125" s="103" t="s">
        <v>880</v>
      </c>
      <c r="C125" s="131">
        <f t="shared" si="120"/>
        <v>0</v>
      </c>
      <c r="D125" s="104">
        <f t="shared" si="125"/>
        <v>110996.73102000001</v>
      </c>
      <c r="E125" s="104">
        <f t="shared" si="126"/>
        <v>110996.73102000001</v>
      </c>
      <c r="F125" s="104">
        <v>24671.084579999999</v>
      </c>
      <c r="G125" s="104">
        <f>13602.18788+3.63797880709171E-12</f>
        <v>13602.187880000003</v>
      </c>
      <c r="H125" s="104">
        <v>1470.13113</v>
      </c>
      <c r="I125" s="105">
        <f t="shared" si="121"/>
        <v>41293.796000000002</v>
      </c>
      <c r="J125" s="104">
        <v>31926.155299999999</v>
      </c>
      <c r="K125" s="104">
        <v>9367.6406999999999</v>
      </c>
      <c r="L125" s="104">
        <v>29959.531429999999</v>
      </c>
      <c r="M125" s="104">
        <f t="shared" si="122"/>
        <v>0</v>
      </c>
      <c r="N125" s="104"/>
      <c r="O125" s="104"/>
      <c r="P125" s="104"/>
      <c r="Q125" s="104"/>
      <c r="R125" s="104"/>
      <c r="S125" s="131">
        <f t="shared" si="123"/>
        <v>0</v>
      </c>
      <c r="T125" s="104"/>
      <c r="U125" s="104"/>
      <c r="V125" s="104"/>
      <c r="W125" s="140"/>
      <c r="X125" s="104"/>
      <c r="Y125" s="131">
        <f t="shared" si="124"/>
        <v>0</v>
      </c>
      <c r="Z125" s="104"/>
      <c r="AA125" s="104"/>
      <c r="AB125" s="104"/>
      <c r="AC125" s="104"/>
      <c r="AD125" s="104"/>
    </row>
    <row r="126" spans="1:30" x14ac:dyDescent="0.25">
      <c r="A126" s="148"/>
      <c r="B126" s="103" t="s">
        <v>881</v>
      </c>
      <c r="C126" s="131">
        <f t="shared" si="120"/>
        <v>0</v>
      </c>
      <c r="D126" s="104">
        <f t="shared" si="125"/>
        <v>99928.195020000014</v>
      </c>
      <c r="E126" s="104">
        <f t="shared" si="126"/>
        <v>99928.195020000014</v>
      </c>
      <c r="F126" s="104">
        <v>25058.463449999999</v>
      </c>
      <c r="G126" s="104">
        <v>13938.50973</v>
      </c>
      <c r="H126" s="104">
        <v>1722.8931499999999</v>
      </c>
      <c r="I126" s="105">
        <f t="shared" si="121"/>
        <v>40998.962180000002</v>
      </c>
      <c r="J126" s="104">
        <v>31609.135450000002</v>
      </c>
      <c r="K126" s="104">
        <f>9389.82673</f>
        <v>9389.8267300000007</v>
      </c>
      <c r="L126" s="104">
        <v>18209.36651</v>
      </c>
      <c r="M126" s="104">
        <f t="shared" si="122"/>
        <v>0</v>
      </c>
      <c r="N126" s="104"/>
      <c r="O126" s="104"/>
      <c r="P126" s="104"/>
      <c r="Q126" s="104"/>
      <c r="R126" s="104"/>
      <c r="S126" s="131">
        <f t="shared" si="123"/>
        <v>0</v>
      </c>
      <c r="T126" s="104"/>
      <c r="U126" s="104"/>
      <c r="V126" s="104"/>
      <c r="W126" s="88"/>
      <c r="X126" s="104"/>
      <c r="Y126" s="131">
        <f t="shared" si="124"/>
        <v>0</v>
      </c>
      <c r="Z126" s="104"/>
      <c r="AA126" s="104"/>
      <c r="AB126" s="104"/>
      <c r="AC126" s="104"/>
      <c r="AD126" s="104"/>
    </row>
    <row r="127" spans="1:30" x14ac:dyDescent="0.25">
      <c r="A127" s="148"/>
      <c r="B127" s="103" t="s">
        <v>882</v>
      </c>
      <c r="C127" s="131">
        <f t="shared" si="120"/>
        <v>0</v>
      </c>
      <c r="D127" s="104">
        <f t="shared" si="125"/>
        <v>108203.85748999999</v>
      </c>
      <c r="E127" s="104">
        <f t="shared" si="126"/>
        <v>108203.85748999999</v>
      </c>
      <c r="F127" s="104">
        <v>25176.423500000001</v>
      </c>
      <c r="G127" s="104">
        <v>14788.43672</v>
      </c>
      <c r="H127" s="104">
        <v>1029.37871</v>
      </c>
      <c r="I127" s="105">
        <f>SUM(J127:K127)</f>
        <v>39702.245540000004</v>
      </c>
      <c r="J127" s="104">
        <v>31959.173699999999</v>
      </c>
      <c r="K127" s="104">
        <f>7742.36933+0.70251</f>
        <v>7743.0718400000005</v>
      </c>
      <c r="L127" s="104">
        <v>27507.373019999999</v>
      </c>
      <c r="M127" s="104">
        <f t="shared" si="122"/>
        <v>0</v>
      </c>
      <c r="N127" s="104"/>
      <c r="O127" s="104"/>
      <c r="P127" s="104"/>
      <c r="Q127" s="104"/>
      <c r="R127" s="104"/>
      <c r="S127" s="131">
        <f t="shared" si="123"/>
        <v>0</v>
      </c>
      <c r="T127" s="104"/>
      <c r="U127" s="104"/>
      <c r="V127" s="104"/>
      <c r="W127" s="142"/>
      <c r="X127" s="104"/>
      <c r="Y127" s="131">
        <f t="shared" si="124"/>
        <v>0</v>
      </c>
      <c r="Z127" s="104"/>
      <c r="AA127" s="104"/>
      <c r="AB127" s="104"/>
      <c r="AC127" s="104"/>
      <c r="AD127" s="104"/>
    </row>
    <row r="128" spans="1:30" x14ac:dyDescent="0.25">
      <c r="A128" s="148"/>
      <c r="B128" s="103" t="s">
        <v>883</v>
      </c>
      <c r="C128" s="131">
        <f t="shared" si="120"/>
        <v>0</v>
      </c>
      <c r="D128" s="104">
        <f>E128+M128</f>
        <v>106702.39577999998</v>
      </c>
      <c r="E128" s="104">
        <f>F128+G128+H128+I128+L128</f>
        <v>106702.39577999998</v>
      </c>
      <c r="F128" s="104">
        <v>25102.682019999993</v>
      </c>
      <c r="G128" s="104">
        <v>10844.51352</v>
      </c>
      <c r="H128" s="104">
        <v>772.52707000000009</v>
      </c>
      <c r="I128" s="105">
        <f>SUM(J128:K128)</f>
        <v>39202.052119999978</v>
      </c>
      <c r="J128" s="104">
        <v>32126.547020000002</v>
      </c>
      <c r="K128" s="104">
        <v>7075.5050999999803</v>
      </c>
      <c r="L128" s="104">
        <v>30780.621050000002</v>
      </c>
      <c r="M128" s="104">
        <f t="shared" si="122"/>
        <v>0</v>
      </c>
      <c r="N128" s="104"/>
      <c r="O128" s="104"/>
      <c r="P128" s="104"/>
      <c r="Q128" s="104"/>
      <c r="R128" s="104"/>
      <c r="S128" s="131">
        <f t="shared" si="123"/>
        <v>0</v>
      </c>
      <c r="T128" s="104"/>
      <c r="U128" s="104"/>
      <c r="V128" s="104"/>
      <c r="W128" s="104"/>
      <c r="X128" s="104"/>
      <c r="Y128" s="131">
        <f t="shared" si="124"/>
        <v>0</v>
      </c>
      <c r="Z128" s="104"/>
      <c r="AA128" s="104"/>
      <c r="AB128" s="104"/>
      <c r="AC128" s="104"/>
      <c r="AD128" s="104"/>
    </row>
    <row r="129" spans="1:30" x14ac:dyDescent="0.25">
      <c r="A129" s="148"/>
      <c r="B129" s="103" t="s">
        <v>884</v>
      </c>
      <c r="C129" s="131">
        <f t="shared" si="120"/>
        <v>0</v>
      </c>
      <c r="D129" s="104">
        <f>E129+M129</f>
        <v>109225.46738000003</v>
      </c>
      <c r="E129" s="104">
        <f>F129+G129+H129+I129+L129</f>
        <v>109225.46738000003</v>
      </c>
      <c r="F129" s="104">
        <v>24978.209360000001</v>
      </c>
      <c r="G129" s="104">
        <v>11062.969240000006</v>
      </c>
      <c r="H129" s="104">
        <v>935.6237799999999</v>
      </c>
      <c r="I129" s="105">
        <f>SUM(J129:K129)</f>
        <v>45737.674990000021</v>
      </c>
      <c r="J129" s="104">
        <v>36228.048600000002</v>
      </c>
      <c r="K129" s="104">
        <v>9509.6263900000195</v>
      </c>
      <c r="L129" s="104">
        <v>26510.990009999994</v>
      </c>
      <c r="M129" s="104">
        <f>SUM(N129:R129)</f>
        <v>0</v>
      </c>
      <c r="N129" s="104"/>
      <c r="O129" s="104"/>
      <c r="P129" s="104"/>
      <c r="Q129" s="104"/>
      <c r="R129" s="104"/>
      <c r="S129" s="131">
        <f>SUM(T129:X129)</f>
        <v>0</v>
      </c>
      <c r="T129" s="104"/>
      <c r="U129" s="104"/>
      <c r="V129" s="104"/>
      <c r="W129" s="104"/>
      <c r="X129" s="104"/>
      <c r="Y129" s="131">
        <f t="shared" si="124"/>
        <v>0</v>
      </c>
      <c r="Z129" s="104"/>
      <c r="AA129" s="104"/>
      <c r="AB129" s="132"/>
      <c r="AC129" s="104"/>
      <c r="AD129" s="104"/>
    </row>
    <row r="130" spans="1:30" x14ac:dyDescent="0.25">
      <c r="A130" s="148"/>
      <c r="B130" s="103" t="s">
        <v>885</v>
      </c>
      <c r="C130" s="131">
        <f t="shared" si="120"/>
        <v>0</v>
      </c>
      <c r="D130" s="104">
        <f>E130+M130</f>
        <v>106809.34389999999</v>
      </c>
      <c r="E130" s="104">
        <f>F130+G130+H130+I130+L130</f>
        <v>106809.34389999999</v>
      </c>
      <c r="F130" s="104">
        <v>24661.182910000003</v>
      </c>
      <c r="G130" s="104">
        <v>11634.678899999999</v>
      </c>
      <c r="H130" s="104">
        <v>785.79655000000093</v>
      </c>
      <c r="I130" s="105">
        <f>SUM(J130:K130)</f>
        <v>36402.685249999995</v>
      </c>
      <c r="J130" s="104">
        <v>27800.572889999999</v>
      </c>
      <c r="K130" s="104">
        <v>8602.1123599999992</v>
      </c>
      <c r="L130" s="104">
        <v>33325.000289999996</v>
      </c>
      <c r="M130" s="104">
        <f>SUM(N130:R130)</f>
        <v>0</v>
      </c>
      <c r="N130" s="104"/>
      <c r="O130" s="104"/>
      <c r="P130" s="104"/>
      <c r="Q130" s="104"/>
      <c r="R130" s="104"/>
      <c r="S130" s="131">
        <f>SUM(T130:X130)</f>
        <v>0</v>
      </c>
      <c r="T130" s="127"/>
      <c r="U130" s="127"/>
      <c r="V130" s="127"/>
      <c r="W130" s="127"/>
      <c r="X130" s="127"/>
      <c r="Y130" s="131">
        <f t="shared" si="124"/>
        <v>0</v>
      </c>
      <c r="Z130" s="104"/>
      <c r="AA130" s="104"/>
      <c r="AB130" s="104"/>
      <c r="AC130" s="104"/>
      <c r="AD130" s="104"/>
    </row>
    <row r="131" spans="1:30" x14ac:dyDescent="0.25">
      <c r="A131" s="148"/>
      <c r="B131" s="103" t="s">
        <v>886</v>
      </c>
      <c r="C131" s="131">
        <f t="shared" si="120"/>
        <v>0</v>
      </c>
      <c r="D131" s="104"/>
      <c r="E131" s="104"/>
      <c r="F131" s="104"/>
      <c r="G131" s="104"/>
      <c r="H131" s="104"/>
      <c r="I131" s="104"/>
      <c r="J131" s="104"/>
      <c r="K131" s="104"/>
      <c r="L131" s="104"/>
      <c r="M131" s="104">
        <f t="shared" ref="M131:M134" si="127">SUM(N131:R131)</f>
        <v>0</v>
      </c>
      <c r="N131" s="104"/>
      <c r="O131" s="104"/>
      <c r="P131" s="104"/>
      <c r="Q131" s="104"/>
      <c r="R131" s="104"/>
      <c r="S131" s="143">
        <f t="shared" ref="S131:S134" si="128">SUM(T131:X131)</f>
        <v>0</v>
      </c>
      <c r="T131" s="145"/>
      <c r="U131" s="145"/>
      <c r="V131" s="145"/>
      <c r="W131" s="145"/>
      <c r="X131" s="145"/>
      <c r="Y131" s="144">
        <f t="shared" si="124"/>
        <v>0</v>
      </c>
      <c r="Z131" s="104"/>
      <c r="AA131" s="104"/>
      <c r="AB131" s="104"/>
      <c r="AC131" s="104"/>
      <c r="AD131" s="104"/>
    </row>
    <row r="132" spans="1:30" x14ac:dyDescent="0.25">
      <c r="A132" s="149"/>
      <c r="B132" s="103" t="s">
        <v>887</v>
      </c>
      <c r="C132" s="131">
        <f t="shared" si="120"/>
        <v>0</v>
      </c>
      <c r="D132" s="104"/>
      <c r="E132" s="104"/>
      <c r="F132" s="104"/>
      <c r="G132" s="104"/>
      <c r="H132" s="104"/>
      <c r="I132" s="104"/>
      <c r="J132" s="104"/>
      <c r="K132" s="104"/>
      <c r="L132" s="104"/>
      <c r="M132" s="104">
        <f t="shared" si="127"/>
        <v>0</v>
      </c>
      <c r="N132" s="104"/>
      <c r="O132" s="104"/>
      <c r="P132" s="104"/>
      <c r="Q132" s="104"/>
      <c r="R132" s="104"/>
      <c r="S132" s="143">
        <f t="shared" si="128"/>
        <v>0</v>
      </c>
      <c r="T132" s="146"/>
      <c r="U132" s="146"/>
      <c r="V132" s="146"/>
      <c r="W132" s="146"/>
      <c r="X132" s="146"/>
      <c r="Y132" s="144">
        <f t="shared" si="124"/>
        <v>0</v>
      </c>
      <c r="Z132" s="104"/>
      <c r="AA132" s="137"/>
      <c r="AB132" s="137"/>
      <c r="AC132" s="137"/>
      <c r="AD132" s="104"/>
    </row>
    <row r="133" spans="1:30" x14ac:dyDescent="0.25">
      <c r="A133" s="149"/>
      <c r="B133" s="103" t="s">
        <v>888</v>
      </c>
      <c r="C133" s="131">
        <f t="shared" si="120"/>
        <v>0</v>
      </c>
      <c r="D133" s="104"/>
      <c r="E133" s="104"/>
      <c r="F133" s="104"/>
      <c r="G133" s="104"/>
      <c r="H133" s="104"/>
      <c r="I133" s="104"/>
      <c r="J133" s="104"/>
      <c r="K133" s="104"/>
      <c r="L133" s="104"/>
      <c r="M133" s="104">
        <f t="shared" si="127"/>
        <v>0</v>
      </c>
      <c r="N133" s="104"/>
      <c r="O133" s="104"/>
      <c r="P133" s="104"/>
      <c r="Q133" s="104"/>
      <c r="R133" s="104"/>
      <c r="S133" s="131">
        <f t="shared" si="128"/>
        <v>0</v>
      </c>
      <c r="T133" s="146"/>
      <c r="U133" s="146"/>
      <c r="V133" s="146"/>
      <c r="W133" s="146"/>
      <c r="X133" s="146"/>
      <c r="Y133" s="131">
        <f t="shared" ref="Y133:Y134" si="129">SUM(Z133:AD133)</f>
        <v>0</v>
      </c>
      <c r="Z133" s="104"/>
      <c r="AA133" s="104"/>
      <c r="AB133" s="104"/>
      <c r="AC133" s="104"/>
      <c r="AD133" s="104"/>
    </row>
    <row r="134" spans="1:30" x14ac:dyDescent="0.25">
      <c r="A134" s="149"/>
      <c r="B134" s="103" t="s">
        <v>889</v>
      </c>
      <c r="C134" s="131">
        <f t="shared" si="120"/>
        <v>0</v>
      </c>
      <c r="D134" s="104"/>
      <c r="E134" s="104"/>
      <c r="F134" s="104"/>
      <c r="G134" s="104"/>
      <c r="H134" s="104"/>
      <c r="I134" s="104"/>
      <c r="J134" s="104"/>
      <c r="K134" s="104"/>
      <c r="L134" s="104"/>
      <c r="M134" s="104">
        <f t="shared" si="127"/>
        <v>0</v>
      </c>
      <c r="N134" s="104"/>
      <c r="O134" s="104"/>
      <c r="P134" s="104"/>
      <c r="Q134" s="104"/>
      <c r="R134" s="104"/>
      <c r="S134" s="131">
        <f t="shared" si="128"/>
        <v>0</v>
      </c>
      <c r="T134" s="104"/>
      <c r="U134" s="104"/>
      <c r="V134" s="104"/>
      <c r="W134" s="104"/>
      <c r="X134" s="104"/>
      <c r="Y134" s="131">
        <f t="shared" si="129"/>
        <v>0</v>
      </c>
      <c r="Z134" s="104"/>
      <c r="AA134" s="104"/>
      <c r="AB134" s="104"/>
      <c r="AC134" s="104"/>
      <c r="AD134" s="104"/>
    </row>
    <row r="135" spans="1:30" x14ac:dyDescent="0.25">
      <c r="A135" s="150"/>
      <c r="B135" s="124" t="s">
        <v>890</v>
      </c>
      <c r="C135" s="123">
        <f t="shared" si="120"/>
        <v>4344603.1500000004</v>
      </c>
      <c r="D135" s="123">
        <f>E135+M135</f>
        <v>2007791.51036</v>
      </c>
      <c r="E135" s="123">
        <f>F135+G135+H135+I135+L135</f>
        <v>786598.25035999995</v>
      </c>
      <c r="F135" s="123">
        <f t="shared" ref="F135:L135" si="130">SUM(F123:F134)</f>
        <v>199842.55405999999</v>
      </c>
      <c r="G135" s="123">
        <f t="shared" si="130"/>
        <v>89609.018400000001</v>
      </c>
      <c r="H135" s="123">
        <f t="shared" si="130"/>
        <v>9770.3237100000006</v>
      </c>
      <c r="I135" s="123">
        <f t="shared" si="130"/>
        <v>309270.71338999999</v>
      </c>
      <c r="J135" s="121">
        <f t="shared" si="130"/>
        <v>249135.98098000002</v>
      </c>
      <c r="K135" s="121">
        <f t="shared" si="130"/>
        <v>60134.732409999997</v>
      </c>
      <c r="L135" s="121">
        <f t="shared" si="130"/>
        <v>178105.64079999999</v>
      </c>
      <c r="M135" s="121">
        <f>SUM(N135:R135)</f>
        <v>1221193.26</v>
      </c>
      <c r="N135" s="121">
        <f t="shared" ref="N135:R135" si="131">SUM(N123:N134)</f>
        <v>527759.50999999989</v>
      </c>
      <c r="O135" s="121">
        <f t="shared" si="131"/>
        <v>410333.32000000007</v>
      </c>
      <c r="P135" s="121">
        <f t="shared" si="131"/>
        <v>49750.429999999993</v>
      </c>
      <c r="Q135" s="121">
        <f t="shared" si="131"/>
        <v>17350</v>
      </c>
      <c r="R135" s="121">
        <f t="shared" si="131"/>
        <v>216000</v>
      </c>
      <c r="S135" s="121">
        <f>SUM(T135:X135)</f>
        <v>2692757.8700000006</v>
      </c>
      <c r="T135" s="121">
        <f t="shared" ref="T135:X135" si="132">SUM(T123:T134)</f>
        <v>2429174.5300000003</v>
      </c>
      <c r="U135" s="121">
        <f t="shared" si="132"/>
        <v>224509.09999999998</v>
      </c>
      <c r="V135" s="121">
        <f t="shared" si="132"/>
        <v>24974.240000000002</v>
      </c>
      <c r="W135" s="121">
        <f t="shared" si="132"/>
        <v>14100</v>
      </c>
      <c r="X135" s="121">
        <f t="shared" si="132"/>
        <v>0</v>
      </c>
      <c r="Y135" s="121">
        <f>SUM(Z135:AD135)</f>
        <v>430652.02</v>
      </c>
      <c r="Z135" s="121">
        <f t="shared" ref="Z135:AD135" si="133">SUM(Z123:Z134)</f>
        <v>338194.17000000004</v>
      </c>
      <c r="AA135" s="121">
        <f t="shared" si="133"/>
        <v>60504.240000000005</v>
      </c>
      <c r="AB135" s="121">
        <f t="shared" si="133"/>
        <v>8443.61</v>
      </c>
      <c r="AC135" s="121">
        <f t="shared" si="133"/>
        <v>23510</v>
      </c>
      <c r="AD135" s="121">
        <f t="shared" si="133"/>
        <v>0</v>
      </c>
    </row>
  </sheetData>
  <mergeCells count="16">
    <mergeCell ref="Y4:Y5"/>
    <mergeCell ref="M4:M5"/>
    <mergeCell ref="S4:S5"/>
    <mergeCell ref="A45:A57"/>
    <mergeCell ref="A32:A44"/>
    <mergeCell ref="A6:A18"/>
    <mergeCell ref="A19:A31"/>
    <mergeCell ref="A123:A135"/>
    <mergeCell ref="D1:D2"/>
    <mergeCell ref="B3:B5"/>
    <mergeCell ref="A3:A5"/>
    <mergeCell ref="A58:A70"/>
    <mergeCell ref="A110:A122"/>
    <mergeCell ref="A97:A109"/>
    <mergeCell ref="A84:A96"/>
    <mergeCell ref="A71:A83"/>
  </mergeCells>
  <pageMargins left="0.25" right="0.25" top="0.75" bottom="0.75" header="0.3" footer="0.3"/>
  <pageSetup paperSize="9" scale="55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16"/>
  <sheetViews>
    <sheetView tabSelected="1" zoomScale="80" zoomScaleNormal="80" zoomScaleSheetLayoutView="70" workbookViewId="0">
      <pane xSplit="2" ySplit="3" topLeftCell="C115" activePane="bottomRight" state="frozen"/>
      <selection pane="topRight" activeCell="C1" sqref="C1"/>
      <selection pane="bottomLeft" activeCell="A9" sqref="A9"/>
      <selection pane="bottomRight" activeCell="N122" sqref="N122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6.85546875" style="3" customWidth="1"/>
    <col min="19" max="19" width="13.85546875" style="3" customWidth="1"/>
    <col min="20" max="20" width="13.42578125" style="3" customWidth="1"/>
    <col min="21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60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61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62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63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63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63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63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63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63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63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63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63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63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63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64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57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58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58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58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58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58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58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58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58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58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58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58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59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57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58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58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58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58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58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58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58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58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58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58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58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59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57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58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58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58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58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58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58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58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58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58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58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58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59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65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65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65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65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65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65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65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65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65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65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65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65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65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65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65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65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65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65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65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65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65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65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65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65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65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65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65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65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65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65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65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65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65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65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65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65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65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65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65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57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58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20" s="3" customFormat="1" x14ac:dyDescent="0.25">
      <c r="A97" s="158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20" s="3" customFormat="1" x14ac:dyDescent="0.25">
      <c r="A98" s="158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20" s="3" customFormat="1" x14ac:dyDescent="0.25">
      <c r="A99" s="158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20" s="3" customFormat="1" x14ac:dyDescent="0.25">
      <c r="A100" s="158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20" s="3" customFormat="1" x14ac:dyDescent="0.25">
      <c r="A101" s="158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20" s="3" customFormat="1" x14ac:dyDescent="0.25">
      <c r="A102" s="158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20" s="3" customFormat="1" x14ac:dyDescent="0.25">
      <c r="A103" s="158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20" s="3" customFormat="1" x14ac:dyDescent="0.25">
      <c r="A104" s="158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20" s="3" customFormat="1" x14ac:dyDescent="0.25">
      <c r="A105" s="158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20" s="3" customFormat="1" x14ac:dyDescent="0.25">
      <c r="A106" s="158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20" s="3" customFormat="1" x14ac:dyDescent="0.25">
      <c r="A107" s="158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20" s="3" customFormat="1" x14ac:dyDescent="0.25">
      <c r="A108" s="158">
        <v>2023</v>
      </c>
      <c r="B108" s="10" t="str">
        <f>IF(L!$A$1=1,L!B231,IF(L!$A$1=2,L!C231,L!D231))</f>
        <v>2023 Janar</v>
      </c>
      <c r="C108" s="6">
        <f>I108+J108+K108+L108+M108+N108+O108+P108</f>
        <v>172800.27000000002</v>
      </c>
      <c r="D108" s="6"/>
      <c r="E108" s="6"/>
      <c r="F108" s="6"/>
      <c r="G108" s="6"/>
      <c r="H108" s="6"/>
      <c r="I108" s="6">
        <v>88411.11</v>
      </c>
      <c r="J108" s="6">
        <v>10604.75</v>
      </c>
      <c r="K108" s="5">
        <v>96</v>
      </c>
      <c r="L108" s="6">
        <v>6431</v>
      </c>
      <c r="M108" s="6">
        <v>11461</v>
      </c>
      <c r="N108" s="6">
        <v>3373.5</v>
      </c>
      <c r="O108" s="6">
        <v>6529</v>
      </c>
      <c r="P108" s="6">
        <v>45893.91</v>
      </c>
      <c r="R108" s="141"/>
      <c r="S108" s="141"/>
      <c r="T108" s="141"/>
    </row>
    <row r="109" spans="1:20" s="3" customFormat="1" x14ac:dyDescent="0.25">
      <c r="A109" s="158"/>
      <c r="B109" s="10" t="str">
        <f>IF(L!$A$1=1,L!B232,IF(L!$A$1=2,L!C232,L!D232))</f>
        <v>2023 Shkurt</v>
      </c>
      <c r="C109" s="6">
        <f t="shared" ref="C109:C119" si="33">I109+J109+K109+L109+M109+N109+O109+P109</f>
        <v>218284.81</v>
      </c>
      <c r="D109" s="6"/>
      <c r="E109" s="6"/>
      <c r="F109" s="6"/>
      <c r="G109" s="6"/>
      <c r="H109" s="6"/>
      <c r="I109" s="6">
        <v>64656</v>
      </c>
      <c r="J109" s="6">
        <v>55144.85</v>
      </c>
      <c r="K109" s="5">
        <v>36</v>
      </c>
      <c r="L109" s="6">
        <v>5734</v>
      </c>
      <c r="M109" s="6">
        <v>10805</v>
      </c>
      <c r="N109" s="6">
        <v>4411.5</v>
      </c>
      <c r="O109" s="6">
        <v>8146</v>
      </c>
      <c r="P109" s="6">
        <v>69351.460000000006</v>
      </c>
      <c r="R109" s="141"/>
      <c r="S109" s="141"/>
      <c r="T109" s="141"/>
    </row>
    <row r="110" spans="1:20" s="3" customFormat="1" x14ac:dyDescent="0.25">
      <c r="A110" s="158"/>
      <c r="B110" s="10" t="str">
        <f>IF(L!$A$1=1,L!B233,IF(L!$A$1=2,L!C233,L!D233))</f>
        <v xml:space="preserve">2023 Mars </v>
      </c>
      <c r="C110" s="6">
        <f t="shared" si="33"/>
        <v>265532.63</v>
      </c>
      <c r="D110" s="6"/>
      <c r="E110" s="6"/>
      <c r="F110" s="6"/>
      <c r="G110" s="6"/>
      <c r="H110" s="6"/>
      <c r="I110" s="13">
        <v>117756.94</v>
      </c>
      <c r="J110" s="6">
        <v>245.28</v>
      </c>
      <c r="K110" s="5">
        <v>108</v>
      </c>
      <c r="L110" s="6">
        <v>5824</v>
      </c>
      <c r="M110" s="6">
        <v>12210</v>
      </c>
      <c r="N110" s="6">
        <v>5126.55</v>
      </c>
      <c r="O110" s="6">
        <v>14916</v>
      </c>
      <c r="P110" s="6">
        <v>109345.86</v>
      </c>
      <c r="R110" s="141"/>
      <c r="S110" s="141"/>
      <c r="T110" s="141"/>
    </row>
    <row r="111" spans="1:20" s="3" customFormat="1" x14ac:dyDescent="0.25">
      <c r="A111" s="158"/>
      <c r="B111" s="10" t="str">
        <f>IF(L!$A$1=1,L!B234,IF(L!$A$1=2,L!C234,L!D234))</f>
        <v>2023 Prill</v>
      </c>
      <c r="C111" s="6">
        <f t="shared" si="33"/>
        <v>294911.73</v>
      </c>
      <c r="D111" s="6"/>
      <c r="E111" s="6"/>
      <c r="F111" s="6"/>
      <c r="G111" s="6"/>
      <c r="H111" s="6"/>
      <c r="I111" s="6">
        <v>170449.47</v>
      </c>
      <c r="J111" s="6">
        <v>7349.83</v>
      </c>
      <c r="K111" s="5">
        <v>50</v>
      </c>
      <c r="L111" s="6">
        <v>4216</v>
      </c>
      <c r="M111" s="6">
        <v>8790</v>
      </c>
      <c r="N111" s="6">
        <v>1958</v>
      </c>
      <c r="O111" s="6">
        <v>7060</v>
      </c>
      <c r="P111" s="6">
        <v>95038.43</v>
      </c>
      <c r="R111" s="141"/>
      <c r="S111" s="141"/>
      <c r="T111" s="141"/>
    </row>
    <row r="112" spans="1:20" s="3" customFormat="1" x14ac:dyDescent="0.25">
      <c r="A112" s="158"/>
      <c r="B112" s="10" t="str">
        <f>IF(L!$A$1=1,L!B235,IF(L!$A$1=2,L!C235,L!D235))</f>
        <v>2023 Maj</v>
      </c>
      <c r="C112" s="6">
        <f t="shared" si="33"/>
        <v>548817.46</v>
      </c>
      <c r="D112" s="6"/>
      <c r="E112" s="6"/>
      <c r="F112" s="6"/>
      <c r="G112" s="6"/>
      <c r="H112" s="6"/>
      <c r="I112" s="6">
        <v>295360.21000000002</v>
      </c>
      <c r="J112" s="6">
        <v>113724.91</v>
      </c>
      <c r="K112" s="5">
        <v>180</v>
      </c>
      <c r="L112" s="6">
        <v>5942</v>
      </c>
      <c r="M112" s="6">
        <v>10890</v>
      </c>
      <c r="N112" s="13">
        <v>4752</v>
      </c>
      <c r="O112" s="6">
        <v>8735</v>
      </c>
      <c r="P112" s="6">
        <v>109233.34</v>
      </c>
      <c r="R112" s="141"/>
      <c r="S112" s="141"/>
      <c r="T112" s="141"/>
    </row>
    <row r="113" spans="1:20" s="3" customFormat="1" x14ac:dyDescent="0.25">
      <c r="A113" s="158"/>
      <c r="B113" s="10" t="str">
        <f>IF(L!$A$1=1,L!B236,IF(L!$A$1=2,L!C236,L!D236))</f>
        <v>2023 Qershor</v>
      </c>
      <c r="C113" s="6">
        <f t="shared" si="33"/>
        <v>224735.37</v>
      </c>
      <c r="D113" s="6"/>
      <c r="E113" s="6"/>
      <c r="F113" s="6"/>
      <c r="G113" s="6"/>
      <c r="H113" s="6"/>
      <c r="I113" s="6">
        <v>67624.81</v>
      </c>
      <c r="J113" s="6">
        <v>71629.070000000007</v>
      </c>
      <c r="K113" s="5">
        <v>150</v>
      </c>
      <c r="L113" s="6">
        <v>5302</v>
      </c>
      <c r="M113" s="6">
        <v>13295.5</v>
      </c>
      <c r="N113" s="13">
        <v>3075.68</v>
      </c>
      <c r="O113" s="6">
        <v>10228</v>
      </c>
      <c r="P113" s="6">
        <v>53430.31</v>
      </c>
      <c r="R113" s="141"/>
      <c r="S113" s="141"/>
      <c r="T113" s="141"/>
    </row>
    <row r="114" spans="1:20" s="3" customFormat="1" x14ac:dyDescent="0.25">
      <c r="A114" s="158"/>
      <c r="B114" s="10" t="str">
        <f>IF(L!$A$1=1,L!B237,IF(L!$A$1=2,L!C237,L!D237))</f>
        <v>2023 Korrik</v>
      </c>
      <c r="C114" s="6">
        <f t="shared" si="33"/>
        <v>199855.35999999999</v>
      </c>
      <c r="D114" s="6"/>
      <c r="E114" s="6"/>
      <c r="F114" s="6"/>
      <c r="G114" s="6"/>
      <c r="H114" s="6"/>
      <c r="I114" s="6">
        <v>86286.26</v>
      </c>
      <c r="J114" s="6">
        <v>4048.6</v>
      </c>
      <c r="K114" s="5">
        <v>-72</v>
      </c>
      <c r="L114" s="6">
        <v>7914</v>
      </c>
      <c r="M114" s="6">
        <v>15200</v>
      </c>
      <c r="N114" s="6">
        <v>3573.5</v>
      </c>
      <c r="O114" s="6">
        <v>2030</v>
      </c>
      <c r="P114" s="6">
        <v>80875</v>
      </c>
      <c r="R114" s="141"/>
      <c r="S114" s="141"/>
      <c r="T114" s="141"/>
    </row>
    <row r="115" spans="1:20" s="3" customFormat="1" x14ac:dyDescent="0.25">
      <c r="A115" s="158"/>
      <c r="B115" s="10" t="str">
        <f>IF(L!$A$1=1,L!B238,IF(L!$A$1=2,L!C238,L!D238))</f>
        <v>2023 Gusht</v>
      </c>
      <c r="C115" s="6">
        <f t="shared" si="33"/>
        <v>300179.37</v>
      </c>
      <c r="D115" s="6"/>
      <c r="E115" s="6"/>
      <c r="F115" s="6"/>
      <c r="G115" s="6"/>
      <c r="H115" s="6"/>
      <c r="I115" s="6">
        <v>120313.56</v>
      </c>
      <c r="J115" s="6">
        <v>27978.31</v>
      </c>
      <c r="K115" s="5"/>
      <c r="L115" s="6">
        <v>9103</v>
      </c>
      <c r="M115" s="6">
        <v>16680</v>
      </c>
      <c r="N115" s="6">
        <v>7886.5</v>
      </c>
      <c r="O115" s="6">
        <v>3750</v>
      </c>
      <c r="P115" s="6">
        <v>114468</v>
      </c>
      <c r="Q115" s="138"/>
      <c r="R115" s="139"/>
    </row>
    <row r="116" spans="1:20" s="3" customFormat="1" x14ac:dyDescent="0.25">
      <c r="A116" s="158"/>
      <c r="B116" s="10" t="str">
        <f>IF(L!$A$1=1,L!B239,IF(L!$A$1=2,L!C239,L!D239))</f>
        <v>2023 Shtator</v>
      </c>
      <c r="C116" s="6">
        <f t="shared" si="33"/>
        <v>220758.83</v>
      </c>
      <c r="D116" s="6"/>
      <c r="E116" s="6"/>
      <c r="F116" s="6"/>
      <c r="G116" s="6"/>
      <c r="H116" s="6"/>
      <c r="I116" s="6">
        <v>106339.94</v>
      </c>
      <c r="J116" s="6">
        <v>31949.15</v>
      </c>
      <c r="K116" s="6">
        <v>100</v>
      </c>
      <c r="L116" s="6">
        <v>5998</v>
      </c>
      <c r="M116" s="6">
        <v>12750</v>
      </c>
      <c r="N116" s="6">
        <v>5637.5</v>
      </c>
      <c r="O116" s="6">
        <v>6221.05</v>
      </c>
      <c r="P116" s="6">
        <v>51763.19</v>
      </c>
      <c r="R116" s="139"/>
    </row>
    <row r="117" spans="1:20" s="3" customFormat="1" x14ac:dyDescent="0.25">
      <c r="A117" s="158"/>
      <c r="B117" s="10" t="str">
        <f>IF(L!$A$1=1,L!B240,IF(L!$A$1=2,L!C240,L!D240))</f>
        <v>2023 Tetor</v>
      </c>
      <c r="C117" s="6">
        <f t="shared" si="33"/>
        <v>328719.01</v>
      </c>
      <c r="D117" s="6"/>
      <c r="E117" s="6"/>
      <c r="F117" s="6"/>
      <c r="G117" s="6"/>
      <c r="H117" s="6"/>
      <c r="I117" s="6">
        <v>72931.679999999993</v>
      </c>
      <c r="J117" s="6">
        <v>111311.83</v>
      </c>
      <c r="K117" s="6">
        <v>90</v>
      </c>
      <c r="L117" s="6">
        <v>5601</v>
      </c>
      <c r="M117" s="6">
        <v>13530</v>
      </c>
      <c r="N117" s="6">
        <v>4877.5</v>
      </c>
      <c r="O117" s="6">
        <v>17077</v>
      </c>
      <c r="P117" s="6">
        <v>103300</v>
      </c>
      <c r="R117" s="139"/>
      <c r="S117" s="139"/>
    </row>
    <row r="118" spans="1:20" s="3" customFormat="1" x14ac:dyDescent="0.25">
      <c r="A118" s="158"/>
      <c r="B118" s="10" t="str">
        <f>IF(L!$A$1=1,L!B241,IF(L!$A$1=2,L!C241,L!D241))</f>
        <v xml:space="preserve">2023 Nëntor </v>
      </c>
      <c r="C118" s="6">
        <f t="shared" si="33"/>
        <v>326168.64</v>
      </c>
      <c r="D118" s="6"/>
      <c r="E118" s="6"/>
      <c r="F118" s="6"/>
      <c r="G118" s="6"/>
      <c r="H118" s="6"/>
      <c r="I118" s="6">
        <v>45931.07</v>
      </c>
      <c r="J118" s="6">
        <v>182439.12</v>
      </c>
      <c r="K118" s="6">
        <v>10119.5</v>
      </c>
      <c r="L118" s="6">
        <v>4443</v>
      </c>
      <c r="M118" s="6">
        <v>12950</v>
      </c>
      <c r="N118" s="6">
        <v>5613.5</v>
      </c>
      <c r="O118" s="6">
        <v>12189.78</v>
      </c>
      <c r="P118" s="6">
        <v>52482.67</v>
      </c>
      <c r="S118" s="139"/>
    </row>
    <row r="119" spans="1:20" s="3" customFormat="1" x14ac:dyDescent="0.25">
      <c r="A119" s="158"/>
      <c r="B119" s="10" t="str">
        <f>IF(L!$A$1=1,L!B242,IF(L!$A$1=2,L!C242,L!D242))</f>
        <v>2023 Dhjetor</v>
      </c>
      <c r="C119" s="6">
        <f t="shared" si="33"/>
        <v>306636</v>
      </c>
      <c r="D119" s="6"/>
      <c r="E119" s="6"/>
      <c r="F119" s="6"/>
      <c r="G119" s="6"/>
      <c r="H119" s="6"/>
      <c r="I119" s="6">
        <v>32538</v>
      </c>
      <c r="J119" s="6">
        <v>155066</v>
      </c>
      <c r="K119" s="6">
        <v>120</v>
      </c>
      <c r="L119" s="6">
        <v>5102</v>
      </c>
      <c r="M119" s="6">
        <v>13040</v>
      </c>
      <c r="N119" s="6">
        <v>6935</v>
      </c>
      <c r="O119" s="6">
        <v>12565</v>
      </c>
      <c r="P119" s="6">
        <v>81270</v>
      </c>
    </row>
    <row r="120" spans="1:20" s="3" customFormat="1" x14ac:dyDescent="0.25">
      <c r="A120" s="159"/>
      <c r="B120" s="11" t="str">
        <f>IF(L!$A$1=1,L!B243,IF(L!$A$1=2,L!C243,L!D243))</f>
        <v>Gjithsej 2023</v>
      </c>
      <c r="C120" s="12">
        <f>SUM(C108:C119)</f>
        <v>3407399.48</v>
      </c>
      <c r="D120" s="12" t="e">
        <f>E120+#REF!+#REF!</f>
        <v>#REF!</v>
      </c>
      <c r="E120" s="12" t="e">
        <f>F120+K120+#REF!</f>
        <v>#REF!</v>
      </c>
      <c r="F120" s="12">
        <f>SUM(G120:J120)</f>
        <v>2040090.75</v>
      </c>
      <c r="G120" s="7">
        <f t="shared" ref="G120:P120" si="34">SUM(G108:G119)</f>
        <v>0</v>
      </c>
      <c r="H120" s="7">
        <f t="shared" si="34"/>
        <v>0</v>
      </c>
      <c r="I120" s="7">
        <f t="shared" si="34"/>
        <v>1268599.05</v>
      </c>
      <c r="J120" s="7">
        <f t="shared" si="34"/>
        <v>771491.7</v>
      </c>
      <c r="K120" s="7">
        <f t="shared" si="34"/>
        <v>10977.5</v>
      </c>
      <c r="L120" s="7">
        <f t="shared" si="34"/>
        <v>71610</v>
      </c>
      <c r="M120" s="7">
        <f t="shared" si="34"/>
        <v>151601.5</v>
      </c>
      <c r="N120" s="7">
        <f t="shared" si="34"/>
        <v>57220.729999999996</v>
      </c>
      <c r="O120" s="7">
        <f t="shared" si="34"/>
        <v>109446.83</v>
      </c>
      <c r="P120" s="7">
        <f t="shared" si="34"/>
        <v>966452.17</v>
      </c>
    </row>
    <row r="121" spans="1:20" s="3" customFormat="1" x14ac:dyDescent="0.25">
      <c r="A121" s="157">
        <v>2024</v>
      </c>
      <c r="B121" s="10" t="s">
        <v>879</v>
      </c>
      <c r="C121" s="6">
        <f>I121+J121+K121+L121+M121+N121+O121+P121</f>
        <v>143589.83000000002</v>
      </c>
      <c r="D121" s="6"/>
      <c r="E121" s="6"/>
      <c r="F121" s="6"/>
      <c r="G121" s="6"/>
      <c r="H121" s="6"/>
      <c r="I121" s="6">
        <v>32734.500000000004</v>
      </c>
      <c r="J121" s="6">
        <v>1067.5899999999999</v>
      </c>
      <c r="K121" s="5">
        <v>90</v>
      </c>
      <c r="L121" s="6">
        <v>4988</v>
      </c>
      <c r="M121" s="6">
        <v>12870</v>
      </c>
      <c r="N121" s="6">
        <v>4530</v>
      </c>
      <c r="O121" s="6">
        <v>10881</v>
      </c>
      <c r="P121" s="6">
        <v>76428.740000000005</v>
      </c>
      <c r="R121" s="147"/>
    </row>
    <row r="122" spans="1:20" s="3" customFormat="1" x14ac:dyDescent="0.25">
      <c r="A122" s="158"/>
      <c r="B122" s="10" t="s">
        <v>878</v>
      </c>
      <c r="C122" s="6">
        <f t="shared" ref="C122:C132" si="35">I122+J122+K122+L122+M122+N122+O122+P122</f>
        <v>229491.65000000002</v>
      </c>
      <c r="D122" s="6"/>
      <c r="E122" s="6"/>
      <c r="F122" s="6"/>
      <c r="G122" s="6"/>
      <c r="H122" s="6"/>
      <c r="I122" s="6">
        <v>38924.300000000003</v>
      </c>
      <c r="J122" s="6">
        <v>82229.350000000006</v>
      </c>
      <c r="K122" s="5">
        <v>90</v>
      </c>
      <c r="L122" s="6">
        <v>3025</v>
      </c>
      <c r="M122" s="6">
        <v>12370</v>
      </c>
      <c r="N122" s="6">
        <v>5013</v>
      </c>
      <c r="O122" s="6">
        <v>13409</v>
      </c>
      <c r="P122" s="6">
        <v>74431</v>
      </c>
    </row>
    <row r="123" spans="1:20" s="3" customFormat="1" x14ac:dyDescent="0.25">
      <c r="A123" s="158"/>
      <c r="B123" s="10" t="s">
        <v>880</v>
      </c>
      <c r="C123" s="6">
        <f t="shared" si="35"/>
        <v>0</v>
      </c>
      <c r="D123" s="6"/>
      <c r="E123" s="6"/>
      <c r="F123" s="6"/>
      <c r="G123" s="6"/>
      <c r="H123" s="6"/>
      <c r="I123" s="13"/>
      <c r="J123" s="6"/>
      <c r="K123" s="5"/>
      <c r="L123" s="6"/>
      <c r="M123" s="6"/>
      <c r="N123" s="6"/>
      <c r="O123" s="6"/>
      <c r="P123" s="6"/>
    </row>
    <row r="124" spans="1:20" s="3" customFormat="1" x14ac:dyDescent="0.25">
      <c r="A124" s="158"/>
      <c r="B124" s="10" t="s">
        <v>881</v>
      </c>
      <c r="C124" s="6">
        <f t="shared" si="35"/>
        <v>0</v>
      </c>
      <c r="D124" s="6"/>
      <c r="E124" s="6"/>
      <c r="F124" s="6"/>
      <c r="G124" s="6"/>
      <c r="H124" s="6"/>
      <c r="I124" s="6"/>
      <c r="J124" s="6"/>
      <c r="K124" s="5"/>
      <c r="L124" s="6"/>
      <c r="M124" s="6"/>
      <c r="N124" s="6"/>
      <c r="O124" s="6"/>
      <c r="P124" s="6"/>
    </row>
    <row r="125" spans="1:20" s="3" customFormat="1" x14ac:dyDescent="0.25">
      <c r="A125" s="158"/>
      <c r="B125" s="10" t="s">
        <v>882</v>
      </c>
      <c r="C125" s="6">
        <f t="shared" si="35"/>
        <v>0</v>
      </c>
      <c r="D125" s="6"/>
      <c r="E125" s="6"/>
      <c r="F125" s="6"/>
      <c r="G125" s="6"/>
      <c r="H125" s="6"/>
      <c r="I125" s="6"/>
      <c r="J125" s="6"/>
      <c r="K125" s="5"/>
      <c r="L125" s="6"/>
      <c r="M125" s="6"/>
      <c r="N125" s="13"/>
      <c r="O125" s="6"/>
      <c r="P125" s="6"/>
    </row>
    <row r="126" spans="1:20" s="3" customFormat="1" x14ac:dyDescent="0.25">
      <c r="A126" s="158"/>
      <c r="B126" s="10" t="s">
        <v>883</v>
      </c>
      <c r="C126" s="6">
        <f t="shared" si="35"/>
        <v>0</v>
      </c>
      <c r="D126" s="6"/>
      <c r="E126" s="6"/>
      <c r="F126" s="6"/>
      <c r="G126" s="6"/>
      <c r="H126" s="6"/>
      <c r="I126" s="6"/>
      <c r="J126" s="6"/>
      <c r="K126" s="5"/>
      <c r="L126" s="6"/>
      <c r="M126" s="6"/>
      <c r="N126" s="13"/>
      <c r="O126" s="6"/>
      <c r="P126" s="6"/>
    </row>
    <row r="127" spans="1:20" s="3" customFormat="1" x14ac:dyDescent="0.25">
      <c r="A127" s="158"/>
      <c r="B127" s="10" t="s">
        <v>884</v>
      </c>
      <c r="C127" s="6">
        <f t="shared" si="35"/>
        <v>0</v>
      </c>
      <c r="D127" s="6"/>
      <c r="E127" s="6"/>
      <c r="F127" s="6"/>
      <c r="G127" s="6"/>
      <c r="H127" s="6"/>
      <c r="I127" s="6"/>
      <c r="J127" s="6"/>
      <c r="K127" s="5"/>
      <c r="L127" s="6"/>
      <c r="M127" s="6"/>
      <c r="N127" s="6"/>
      <c r="O127" s="6"/>
      <c r="P127" s="6"/>
    </row>
    <row r="128" spans="1:20" s="3" customFormat="1" x14ac:dyDescent="0.25">
      <c r="A128" s="158"/>
      <c r="B128" s="10" t="s">
        <v>885</v>
      </c>
      <c r="C128" s="6">
        <f t="shared" si="35"/>
        <v>0</v>
      </c>
      <c r="D128" s="6"/>
      <c r="E128" s="6"/>
      <c r="F128" s="6"/>
      <c r="G128" s="6"/>
      <c r="H128" s="6"/>
      <c r="I128" s="6"/>
      <c r="J128" s="6"/>
      <c r="K128" s="5"/>
      <c r="L128" s="6"/>
      <c r="M128" s="6"/>
      <c r="N128" s="6"/>
      <c r="O128" s="6"/>
      <c r="P128" s="6"/>
    </row>
    <row r="129" spans="1:16" s="3" customFormat="1" x14ac:dyDescent="0.25">
      <c r="A129" s="158"/>
      <c r="B129" s="10" t="s">
        <v>886</v>
      </c>
      <c r="C129" s="6">
        <f t="shared" si="35"/>
        <v>0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s="3" customFormat="1" x14ac:dyDescent="0.25">
      <c r="A130" s="158"/>
      <c r="B130" s="10" t="s">
        <v>887</v>
      </c>
      <c r="C130" s="6">
        <f t="shared" si="35"/>
        <v>0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s="3" customFormat="1" x14ac:dyDescent="0.25">
      <c r="A131" s="158"/>
      <c r="B131" s="10" t="s">
        <v>888</v>
      </c>
      <c r="C131" s="6">
        <f t="shared" si="35"/>
        <v>0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s="3" customFormat="1" x14ac:dyDescent="0.25">
      <c r="A132" s="158"/>
      <c r="B132" s="10" t="s">
        <v>889</v>
      </c>
      <c r="C132" s="6">
        <f t="shared" si="35"/>
        <v>0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s="3" customFormat="1" x14ac:dyDescent="0.25">
      <c r="A133" s="159"/>
      <c r="B133" s="11" t="s">
        <v>890</v>
      </c>
      <c r="C133" s="12">
        <f>SUM(C121:C132)</f>
        <v>373081.48000000004</v>
      </c>
      <c r="D133" s="12" t="e">
        <f>E133+#REF!+#REF!</f>
        <v>#REF!</v>
      </c>
      <c r="E133" s="12" t="e">
        <f>F133+K133+#REF!</f>
        <v>#REF!</v>
      </c>
      <c r="F133" s="12">
        <f>SUM(G133:J133)</f>
        <v>154955.74</v>
      </c>
      <c r="G133" s="7">
        <f t="shared" ref="G133:P133" si="36">SUM(G121:G132)</f>
        <v>0</v>
      </c>
      <c r="H133" s="7">
        <f t="shared" si="36"/>
        <v>0</v>
      </c>
      <c r="I133" s="7">
        <f t="shared" si="36"/>
        <v>71658.8</v>
      </c>
      <c r="J133" s="7">
        <f t="shared" si="36"/>
        <v>83296.94</v>
      </c>
      <c r="K133" s="7">
        <f t="shared" si="36"/>
        <v>180</v>
      </c>
      <c r="L133" s="7">
        <f t="shared" si="36"/>
        <v>8013</v>
      </c>
      <c r="M133" s="7">
        <f t="shared" si="36"/>
        <v>25240</v>
      </c>
      <c r="N133" s="7">
        <f t="shared" si="36"/>
        <v>9543</v>
      </c>
      <c r="O133" s="7">
        <f t="shared" si="36"/>
        <v>24290</v>
      </c>
      <c r="P133" s="7">
        <f t="shared" si="36"/>
        <v>150859.74</v>
      </c>
    </row>
    <row r="134" spans="1:16" s="3" customFormat="1" x14ac:dyDescent="0.25">
      <c r="G134" s="4"/>
      <c r="H134" s="4"/>
      <c r="I134" s="4"/>
      <c r="J134" s="4"/>
      <c r="K134" s="4"/>
    </row>
    <row r="135" spans="1:16" s="3" customFormat="1" x14ac:dyDescent="0.25">
      <c r="G135" s="4"/>
      <c r="H135" s="4"/>
      <c r="I135" s="4"/>
      <c r="J135" s="4"/>
      <c r="K135" s="4"/>
    </row>
    <row r="136" spans="1:16" s="3" customFormat="1" x14ac:dyDescent="0.25">
      <c r="G136" s="4"/>
      <c r="H136" s="4"/>
      <c r="I136" s="4"/>
      <c r="J136" s="4"/>
      <c r="K136" s="4"/>
    </row>
    <row r="137" spans="1:16" s="3" customFormat="1" x14ac:dyDescent="0.25">
      <c r="G137" s="4"/>
      <c r="H137" s="4"/>
      <c r="I137" s="4"/>
      <c r="J137" s="4"/>
      <c r="K137" s="4"/>
    </row>
    <row r="138" spans="1:16" s="3" customFormat="1" x14ac:dyDescent="0.25">
      <c r="G138" s="4"/>
      <c r="H138" s="4"/>
      <c r="I138" s="4"/>
      <c r="J138" s="4"/>
      <c r="K138" s="4"/>
    </row>
    <row r="139" spans="1:16" s="3" customFormat="1" x14ac:dyDescent="0.25">
      <c r="G139" s="4"/>
      <c r="H139" s="4"/>
      <c r="I139" s="4"/>
      <c r="J139" s="4"/>
      <c r="K139" s="4"/>
    </row>
    <row r="140" spans="1:16" s="3" customFormat="1" x14ac:dyDescent="0.25">
      <c r="G140" s="4"/>
      <c r="H140" s="4"/>
      <c r="I140" s="4"/>
      <c r="J140" s="4"/>
      <c r="K140" s="4"/>
    </row>
    <row r="141" spans="1:16" s="3" customFormat="1" x14ac:dyDescent="0.25">
      <c r="G141" s="4"/>
      <c r="H141" s="4"/>
      <c r="I141" s="4"/>
      <c r="J141" s="4"/>
      <c r="K141" s="4"/>
    </row>
    <row r="142" spans="1:16" s="3" customFormat="1" x14ac:dyDescent="0.25">
      <c r="G142" s="4"/>
      <c r="H142" s="4"/>
      <c r="I142" s="4"/>
      <c r="J142" s="4"/>
      <c r="K142" s="4"/>
    </row>
    <row r="143" spans="1:16" s="3" customFormat="1" x14ac:dyDescent="0.25">
      <c r="G143" s="4"/>
      <c r="H143" s="4"/>
      <c r="I143" s="4"/>
      <c r="J143" s="4"/>
      <c r="K143" s="4"/>
    </row>
    <row r="144" spans="1:16" s="3" customFormat="1" x14ac:dyDescent="0.25">
      <c r="G144" s="4"/>
      <c r="H144" s="4"/>
      <c r="I144" s="4"/>
      <c r="J144" s="4"/>
      <c r="K144" s="4"/>
    </row>
    <row r="145" spans="7:11" s="3" customFormat="1" x14ac:dyDescent="0.25">
      <c r="G145" s="4"/>
      <c r="H145" s="4"/>
      <c r="I145" s="4"/>
      <c r="J145" s="4"/>
      <c r="K145" s="4"/>
    </row>
    <row r="146" spans="7:11" s="3" customFormat="1" x14ac:dyDescent="0.25">
      <c r="G146" s="4"/>
      <c r="H146" s="4"/>
      <c r="I146" s="4"/>
      <c r="J146" s="4"/>
      <c r="K146" s="4"/>
    </row>
    <row r="147" spans="7:11" s="3" customFormat="1" x14ac:dyDescent="0.25">
      <c r="G147" s="4"/>
      <c r="H147" s="4"/>
      <c r="I147" s="4"/>
      <c r="J147" s="4"/>
      <c r="K147" s="4"/>
    </row>
    <row r="148" spans="7:11" s="3" customFormat="1" x14ac:dyDescent="0.25">
      <c r="G148" s="4"/>
      <c r="H148" s="4"/>
      <c r="I148" s="4"/>
      <c r="J148" s="4"/>
      <c r="K148" s="4"/>
    </row>
    <row r="149" spans="7:11" s="3" customFormat="1" x14ac:dyDescent="0.25">
      <c r="G149" s="4"/>
      <c r="H149" s="4"/>
      <c r="I149" s="4"/>
      <c r="J149" s="4"/>
      <c r="K149" s="4"/>
    </row>
    <row r="150" spans="7:11" s="3" customFormat="1" x14ac:dyDescent="0.25">
      <c r="G150" s="4"/>
      <c r="H150" s="4"/>
      <c r="I150" s="4"/>
      <c r="J150" s="4"/>
      <c r="K150" s="4"/>
    </row>
    <row r="151" spans="7:11" s="3" customFormat="1" x14ac:dyDescent="0.25">
      <c r="G151" s="4"/>
      <c r="H151" s="4"/>
      <c r="I151" s="4"/>
      <c r="J151" s="4"/>
      <c r="K151" s="4"/>
    </row>
    <row r="152" spans="7:11" s="3" customFormat="1" x14ac:dyDescent="0.25">
      <c r="G152" s="4"/>
      <c r="H152" s="4"/>
      <c r="I152" s="4"/>
      <c r="J152" s="4"/>
      <c r="K152" s="4"/>
    </row>
    <row r="153" spans="7:11" s="3" customFormat="1" x14ac:dyDescent="0.25">
      <c r="G153" s="4"/>
      <c r="H153" s="4"/>
      <c r="I153" s="4"/>
      <c r="J153" s="4"/>
      <c r="K153" s="4"/>
    </row>
    <row r="154" spans="7:11" s="3" customFormat="1" x14ac:dyDescent="0.25">
      <c r="G154" s="4"/>
      <c r="H154" s="4"/>
      <c r="I154" s="4"/>
      <c r="J154" s="4"/>
      <c r="K154" s="4"/>
    </row>
    <row r="155" spans="7:11" s="3" customFormat="1" x14ac:dyDescent="0.25">
      <c r="G155" s="4"/>
      <c r="H155" s="4"/>
      <c r="I155" s="4"/>
      <c r="J155" s="4"/>
      <c r="K155" s="4"/>
    </row>
    <row r="156" spans="7:11" s="3" customFormat="1" x14ac:dyDescent="0.25">
      <c r="G156" s="4"/>
      <c r="H156" s="4"/>
      <c r="I156" s="4"/>
      <c r="J156" s="4"/>
      <c r="K156" s="4"/>
    </row>
    <row r="157" spans="7:11" s="3" customFormat="1" x14ac:dyDescent="0.25">
      <c r="G157" s="4"/>
      <c r="H157" s="4"/>
      <c r="I157" s="4"/>
      <c r="J157" s="4"/>
      <c r="K157" s="4"/>
    </row>
    <row r="158" spans="7:11" s="3" customFormat="1" x14ac:dyDescent="0.25">
      <c r="G158" s="4"/>
      <c r="H158" s="4"/>
      <c r="I158" s="4"/>
      <c r="J158" s="4"/>
      <c r="K158" s="4"/>
    </row>
    <row r="159" spans="7:11" s="3" customFormat="1" x14ac:dyDescent="0.25">
      <c r="G159" s="4"/>
      <c r="H159" s="4"/>
      <c r="I159" s="4"/>
      <c r="J159" s="4"/>
      <c r="K159" s="4"/>
    </row>
    <row r="160" spans="7:11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</sheetData>
  <mergeCells count="11">
    <mergeCell ref="A121:A133"/>
    <mergeCell ref="A108:A120"/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Abit Abiti</cp:lastModifiedBy>
  <cp:lastPrinted>2024-02-29T14:35:39Z</cp:lastPrinted>
  <dcterms:created xsi:type="dcterms:W3CDTF">2015-03-12T08:53:45Z</dcterms:created>
  <dcterms:modified xsi:type="dcterms:W3CDTF">2024-03-26T14:14:43Z</dcterms:modified>
</cp:coreProperties>
</file>