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rjeta.duraku\Downloads\"/>
    </mc:Choice>
  </mc:AlternateContent>
  <bookViews>
    <workbookView xWindow="0" yWindow="240" windowWidth="19200" windowHeight="6345"/>
  </bookViews>
  <sheets>
    <sheet name="SHPENZIMET" sheetId="6" r:id="rId1"/>
    <sheet name="TË HYRAT" sheetId="12" r:id="rId2"/>
    <sheet name="L" sheetId="16" state="hidden" r:id="rId3"/>
  </sheets>
  <definedNames>
    <definedName name="_xlnm.Print_Area" localSheetId="0">SHPENZIMET!$A$1:$AD$57</definedName>
    <definedName name="_xlnm.Print_Area" localSheetId="1">'TË HYRAT'!$A$1:$P$68</definedName>
    <definedName name="_xlnm.Print_Titles" localSheetId="0">SHPENZIMET!$3:$5</definedName>
  </definedNames>
  <calcPr calcId="162913"/>
</workbook>
</file>

<file path=xl/calcChain.xml><?xml version="1.0" encoding="utf-8"?>
<calcChain xmlns="http://schemas.openxmlformats.org/spreadsheetml/2006/main">
  <c r="Y125" i="6" l="1"/>
  <c r="Q123" i="6" l="1"/>
  <c r="P123" i="6"/>
  <c r="O123" i="6"/>
  <c r="N123" i="6"/>
  <c r="P133" i="12"/>
  <c r="N133" i="12"/>
  <c r="M133" i="12"/>
  <c r="K133" i="12"/>
  <c r="J133" i="12"/>
  <c r="I133" i="12"/>
  <c r="H133" i="12"/>
  <c r="G133" i="12"/>
  <c r="L133" i="12"/>
  <c r="C127" i="12"/>
  <c r="C126" i="12"/>
  <c r="C125" i="12"/>
  <c r="C124" i="12"/>
  <c r="C123" i="12"/>
  <c r="C122" i="12"/>
  <c r="O133" i="12"/>
  <c r="C121" i="12"/>
  <c r="AD135" i="6"/>
  <c r="AC135" i="6"/>
  <c r="AB135" i="6"/>
  <c r="AA135" i="6"/>
  <c r="Z135" i="6"/>
  <c r="X135" i="6"/>
  <c r="W135" i="6"/>
  <c r="V135" i="6"/>
  <c r="U135" i="6"/>
  <c r="T135" i="6"/>
  <c r="L135" i="6"/>
  <c r="J135" i="6"/>
  <c r="H135" i="6"/>
  <c r="F135" i="6"/>
  <c r="Y134" i="6"/>
  <c r="S134" i="6"/>
  <c r="M134" i="6"/>
  <c r="Y129" i="6"/>
  <c r="S129" i="6"/>
  <c r="I129" i="6"/>
  <c r="E129" i="6" s="1"/>
  <c r="Y128" i="6"/>
  <c r="S128" i="6"/>
  <c r="M128" i="6"/>
  <c r="I128" i="6"/>
  <c r="E128" i="6" s="1"/>
  <c r="Y127" i="6"/>
  <c r="S127" i="6"/>
  <c r="M127" i="6"/>
  <c r="K127" i="6"/>
  <c r="I127" i="6" s="1"/>
  <c r="E127" i="6" s="1"/>
  <c r="Y126" i="6"/>
  <c r="S126" i="6"/>
  <c r="K126" i="6"/>
  <c r="S125" i="6"/>
  <c r="I125" i="6"/>
  <c r="G125" i="6"/>
  <c r="G135" i="6" s="1"/>
  <c r="Y124" i="6"/>
  <c r="S124" i="6"/>
  <c r="I124" i="6"/>
  <c r="E124" i="6"/>
  <c r="Y123" i="6"/>
  <c r="S123" i="6"/>
  <c r="I123" i="6"/>
  <c r="E123" i="6" s="1"/>
  <c r="K135" i="6" l="1"/>
  <c r="I126" i="6"/>
  <c r="E126" i="6" s="1"/>
  <c r="C127" i="6"/>
  <c r="F133" i="12"/>
  <c r="E133" i="12" s="1"/>
  <c r="D133" i="12" s="1"/>
  <c r="C133" i="12"/>
  <c r="E125" i="6"/>
  <c r="D128" i="6"/>
  <c r="Y135" i="6"/>
  <c r="S135" i="6"/>
  <c r="O135" i="6"/>
  <c r="M126" i="6"/>
  <c r="C126" i="6" s="1"/>
  <c r="C134" i="6"/>
  <c r="M125" i="6"/>
  <c r="C125" i="6" s="1"/>
  <c r="M124" i="6"/>
  <c r="C124" i="6" s="1"/>
  <c r="M129" i="6"/>
  <c r="C129" i="6" s="1"/>
  <c r="M123" i="6"/>
  <c r="Q135" i="6"/>
  <c r="R135" i="6"/>
  <c r="D127" i="6"/>
  <c r="N135" i="6"/>
  <c r="P135" i="6"/>
  <c r="C128" i="6"/>
  <c r="R121" i="6"/>
  <c r="Q121" i="6"/>
  <c r="P121" i="6"/>
  <c r="O121" i="6"/>
  <c r="N121" i="6"/>
  <c r="R120" i="6"/>
  <c r="Q120" i="6"/>
  <c r="P120" i="6"/>
  <c r="O120" i="6"/>
  <c r="N120" i="6"/>
  <c r="I135" i="6" l="1"/>
  <c r="E135" i="6" s="1"/>
  <c r="D126" i="6"/>
  <c r="M135" i="6"/>
  <c r="C135" i="6" s="1"/>
  <c r="D125" i="6"/>
  <c r="D124" i="6"/>
  <c r="D129" i="6"/>
  <c r="C123" i="6"/>
  <c r="D123" i="6"/>
  <c r="R119" i="6"/>
  <c r="Q119" i="6"/>
  <c r="P119" i="6"/>
  <c r="R118" i="6"/>
  <c r="Q118" i="6"/>
  <c r="P118" i="6"/>
  <c r="O118" i="6"/>
  <c r="O119" i="6"/>
  <c r="N119" i="6"/>
  <c r="N118" i="6"/>
  <c r="D135" i="6" l="1"/>
  <c r="R117" i="6"/>
  <c r="R116" i="6"/>
  <c r="Q117" i="6"/>
  <c r="Q116" i="6"/>
  <c r="P117" i="6"/>
  <c r="P116" i="6"/>
  <c r="O117" i="6"/>
  <c r="O116" i="6"/>
  <c r="N116" i="6"/>
  <c r="Q115" i="6"/>
  <c r="P115" i="6"/>
  <c r="O115" i="6"/>
  <c r="N117" i="6"/>
  <c r="N115" i="6"/>
  <c r="C109" i="12" l="1"/>
  <c r="C110" i="12"/>
  <c r="C111" i="12"/>
  <c r="C112" i="12"/>
  <c r="C113" i="12"/>
  <c r="C114" i="12"/>
  <c r="C115" i="12"/>
  <c r="C116" i="12"/>
  <c r="C117" i="12"/>
  <c r="C118" i="12"/>
  <c r="C119" i="12"/>
  <c r="C108" i="12"/>
  <c r="O113" i="6" l="1"/>
  <c r="Q114" i="6"/>
  <c r="Q113" i="6"/>
  <c r="Q112" i="6"/>
  <c r="Q111" i="6"/>
  <c r="P114" i="6"/>
  <c r="P113" i="6"/>
  <c r="P112" i="6"/>
  <c r="P111" i="6"/>
  <c r="O114" i="6"/>
  <c r="O112" i="6"/>
  <c r="O111" i="6"/>
  <c r="O110" i="6"/>
  <c r="N110" i="6"/>
  <c r="N114" i="6"/>
  <c r="N113" i="6"/>
  <c r="N112" i="6"/>
  <c r="N111" i="6"/>
  <c r="AD122" i="6" l="1"/>
  <c r="AC122" i="6"/>
  <c r="AB122" i="6"/>
  <c r="AA122" i="6"/>
  <c r="Z122" i="6"/>
  <c r="X122" i="6"/>
  <c r="W122" i="6"/>
  <c r="V122" i="6"/>
  <c r="U122" i="6"/>
  <c r="T122" i="6"/>
  <c r="L122" i="6"/>
  <c r="J122" i="6"/>
  <c r="H122" i="6"/>
  <c r="F122" i="6"/>
  <c r="B122" i="6"/>
  <c r="Y121" i="6"/>
  <c r="S121" i="6"/>
  <c r="M121" i="6"/>
  <c r="B121" i="6"/>
  <c r="Y120" i="6"/>
  <c r="S120" i="6"/>
  <c r="M120" i="6"/>
  <c r="B120" i="6"/>
  <c r="Y119" i="6"/>
  <c r="S119" i="6"/>
  <c r="B119" i="6"/>
  <c r="Y118" i="6"/>
  <c r="S118" i="6"/>
  <c r="B118" i="6"/>
  <c r="Y117" i="6"/>
  <c r="S117" i="6"/>
  <c r="I117" i="6"/>
  <c r="E117" i="6" s="1"/>
  <c r="B117" i="6"/>
  <c r="Y116" i="6"/>
  <c r="S116" i="6"/>
  <c r="I116" i="6"/>
  <c r="E116" i="6" s="1"/>
  <c r="B116" i="6"/>
  <c r="Y115" i="6"/>
  <c r="S115" i="6"/>
  <c r="M115" i="6"/>
  <c r="I115" i="6"/>
  <c r="E115" i="6" s="1"/>
  <c r="B115" i="6"/>
  <c r="Y114" i="6"/>
  <c r="S114" i="6"/>
  <c r="K114" i="6"/>
  <c r="I114" i="6" s="1"/>
  <c r="E114" i="6" s="1"/>
  <c r="B114" i="6"/>
  <c r="Y113" i="6"/>
  <c r="S113" i="6"/>
  <c r="M113" i="6"/>
  <c r="K113" i="6"/>
  <c r="I113" i="6" s="1"/>
  <c r="E113" i="6" s="1"/>
  <c r="B113" i="6"/>
  <c r="Y112" i="6"/>
  <c r="S112" i="6"/>
  <c r="M112" i="6"/>
  <c r="I112" i="6"/>
  <c r="G112" i="6"/>
  <c r="G122" i="6" s="1"/>
  <c r="B112" i="6"/>
  <c r="Y111" i="6"/>
  <c r="S111" i="6"/>
  <c r="I111" i="6"/>
  <c r="E111" i="6" s="1"/>
  <c r="B111" i="6"/>
  <c r="Y110" i="6"/>
  <c r="S110" i="6"/>
  <c r="M110" i="6"/>
  <c r="I110" i="6"/>
  <c r="E110" i="6" s="1"/>
  <c r="B110" i="6"/>
  <c r="P120" i="12"/>
  <c r="N120" i="12"/>
  <c r="M120" i="12"/>
  <c r="K120" i="12"/>
  <c r="J120" i="12"/>
  <c r="I120" i="12"/>
  <c r="H120" i="12"/>
  <c r="G120" i="12"/>
  <c r="B120" i="12"/>
  <c r="B119" i="12"/>
  <c r="O120" i="12"/>
  <c r="B118" i="12"/>
  <c r="B117" i="12"/>
  <c r="B116" i="12"/>
  <c r="B115" i="12"/>
  <c r="B114" i="12"/>
  <c r="B113" i="12"/>
  <c r="B112" i="12"/>
  <c r="B111" i="12"/>
  <c r="B110" i="12"/>
  <c r="B109" i="12"/>
  <c r="B108" i="12"/>
  <c r="E112" i="6" l="1"/>
  <c r="D112" i="6" s="1"/>
  <c r="K122" i="6"/>
  <c r="D115" i="6"/>
  <c r="F120" i="12"/>
  <c r="E120" i="12" s="1"/>
  <c r="D120" i="12" s="1"/>
  <c r="Y122" i="6"/>
  <c r="S122" i="6"/>
  <c r="C113" i="6"/>
  <c r="C121" i="6"/>
  <c r="M117" i="6"/>
  <c r="D117" i="6" s="1"/>
  <c r="M114" i="6"/>
  <c r="C114" i="6" s="1"/>
  <c r="C120" i="6"/>
  <c r="D113" i="6"/>
  <c r="C112" i="6"/>
  <c r="P122" i="6"/>
  <c r="Q122" i="6"/>
  <c r="M116" i="6"/>
  <c r="D116" i="6" s="1"/>
  <c r="C115" i="6"/>
  <c r="M111" i="6"/>
  <c r="C111" i="6" s="1"/>
  <c r="M118" i="6"/>
  <c r="C118" i="6" s="1"/>
  <c r="R122" i="6"/>
  <c r="M119" i="6"/>
  <c r="C119" i="6" s="1"/>
  <c r="C110" i="6"/>
  <c r="D110" i="6"/>
  <c r="I122" i="6"/>
  <c r="E122" i="6" s="1"/>
  <c r="N122" i="6"/>
  <c r="O122" i="6"/>
  <c r="C120" i="12"/>
  <c r="L120" i="12"/>
  <c r="O106" i="12"/>
  <c r="L106" i="12"/>
  <c r="D111" i="6" l="1"/>
  <c r="D114" i="6"/>
  <c r="C117" i="6"/>
  <c r="C116" i="6"/>
  <c r="M122" i="6"/>
  <c r="C122" i="6" s="1"/>
  <c r="Y107" i="6"/>
  <c r="D122" i="6" l="1"/>
  <c r="O105" i="12"/>
  <c r="L105" i="12"/>
  <c r="L104" i="12" l="1"/>
  <c r="L103" i="12"/>
  <c r="L102" i="12"/>
  <c r="L101" i="12"/>
  <c r="L100" i="12"/>
  <c r="L99" i="12"/>
  <c r="L98" i="12"/>
  <c r="L97" i="12"/>
  <c r="L96" i="12"/>
  <c r="L95" i="12"/>
  <c r="N103" i="6" l="1"/>
  <c r="R106" i="6"/>
  <c r="R105" i="6"/>
  <c r="R104" i="6"/>
  <c r="R102" i="6"/>
  <c r="Q106" i="6"/>
  <c r="Q105" i="6"/>
  <c r="Q104" i="6"/>
  <c r="Q103" i="6"/>
  <c r="Q102" i="6"/>
  <c r="Q101" i="6"/>
  <c r="Q100" i="6"/>
  <c r="Q99" i="6"/>
  <c r="Q98" i="6"/>
  <c r="P106" i="6"/>
  <c r="P105" i="6"/>
  <c r="P104" i="6"/>
  <c r="P103" i="6"/>
  <c r="P102" i="6"/>
  <c r="P101" i="6"/>
  <c r="P100" i="6"/>
  <c r="P99" i="6"/>
  <c r="P98" i="6"/>
  <c r="O106" i="6"/>
  <c r="O105" i="6"/>
  <c r="O104" i="6"/>
  <c r="O103" i="6"/>
  <c r="O102" i="6"/>
  <c r="O101" i="6"/>
  <c r="O100" i="6"/>
  <c r="O99" i="6"/>
  <c r="O98" i="6"/>
  <c r="N106" i="6"/>
  <c r="N105" i="6"/>
  <c r="N102" i="6"/>
  <c r="N101" i="6"/>
  <c r="N100" i="6"/>
  <c r="N99" i="6"/>
  <c r="N98" i="6"/>
  <c r="N97" i="6"/>
  <c r="Y98" i="6"/>
  <c r="Y99" i="6"/>
  <c r="Y100" i="6"/>
  <c r="Y101" i="6"/>
  <c r="Y102" i="6"/>
  <c r="Y103" i="6"/>
  <c r="Y104" i="6"/>
  <c r="Y105" i="6"/>
  <c r="Y106" i="6"/>
  <c r="P107" i="12" l="1"/>
  <c r="N107" i="12"/>
  <c r="M107" i="12"/>
  <c r="L107" i="12"/>
  <c r="K107" i="12"/>
  <c r="J107" i="12"/>
  <c r="I107" i="12"/>
  <c r="H107" i="12"/>
  <c r="G107" i="12"/>
  <c r="B107" i="12"/>
  <c r="C106" i="12"/>
  <c r="B106" i="12"/>
  <c r="C105" i="12"/>
  <c r="B105" i="12"/>
  <c r="C104" i="12"/>
  <c r="B104" i="12"/>
  <c r="C103" i="12"/>
  <c r="B103" i="12"/>
  <c r="F102" i="12"/>
  <c r="E102" i="12"/>
  <c r="D102" i="12" s="1"/>
  <c r="C102" i="12"/>
  <c r="B102" i="12"/>
  <c r="F101" i="12"/>
  <c r="E101" i="12" s="1"/>
  <c r="D101" i="12" s="1"/>
  <c r="C101" i="12"/>
  <c r="B101" i="12"/>
  <c r="C100" i="12"/>
  <c r="F100" i="12"/>
  <c r="E100" i="12" s="1"/>
  <c r="D100" i="12" s="1"/>
  <c r="B100" i="12"/>
  <c r="C99" i="12"/>
  <c r="F99" i="12"/>
  <c r="E99" i="12" s="1"/>
  <c r="D99" i="12" s="1"/>
  <c r="B99" i="12"/>
  <c r="F98" i="12"/>
  <c r="E98" i="12" s="1"/>
  <c r="D98" i="12" s="1"/>
  <c r="C98" i="12"/>
  <c r="B98" i="12"/>
  <c r="F97" i="12"/>
  <c r="E97" i="12" s="1"/>
  <c r="D97" i="12" s="1"/>
  <c r="C97" i="12"/>
  <c r="B97" i="12"/>
  <c r="F96" i="12"/>
  <c r="E96" i="12" s="1"/>
  <c r="D96" i="12" s="1"/>
  <c r="C96" i="12"/>
  <c r="B96" i="12"/>
  <c r="F95" i="12"/>
  <c r="E95" i="12" s="1"/>
  <c r="D95" i="12" s="1"/>
  <c r="C95" i="12"/>
  <c r="B95" i="12"/>
  <c r="AD109" i="6"/>
  <c r="AC109" i="6"/>
  <c r="AB109" i="6"/>
  <c r="AA109" i="6"/>
  <c r="Z109" i="6"/>
  <c r="X109" i="6"/>
  <c r="W109" i="6"/>
  <c r="V109" i="6"/>
  <c r="U109" i="6"/>
  <c r="T109" i="6"/>
  <c r="L109" i="6"/>
  <c r="J109" i="6"/>
  <c r="H109" i="6"/>
  <c r="F109" i="6"/>
  <c r="B109" i="6"/>
  <c r="Y108" i="6"/>
  <c r="S108" i="6"/>
  <c r="M108" i="6"/>
  <c r="B108" i="6"/>
  <c r="S107" i="6"/>
  <c r="M107" i="6"/>
  <c r="B107" i="6"/>
  <c r="S106" i="6"/>
  <c r="M106" i="6"/>
  <c r="B106" i="6"/>
  <c r="S105" i="6"/>
  <c r="M105" i="6"/>
  <c r="B105" i="6"/>
  <c r="S104" i="6"/>
  <c r="I104" i="6"/>
  <c r="E104" i="6"/>
  <c r="B104" i="6"/>
  <c r="S103" i="6"/>
  <c r="I103" i="6"/>
  <c r="E103" i="6"/>
  <c r="B103" i="6"/>
  <c r="S102" i="6"/>
  <c r="M102" i="6"/>
  <c r="I102" i="6"/>
  <c r="E102" i="6" s="1"/>
  <c r="B102" i="6"/>
  <c r="S101" i="6"/>
  <c r="M101" i="6"/>
  <c r="K101" i="6"/>
  <c r="I101" i="6" s="1"/>
  <c r="E101" i="6" s="1"/>
  <c r="B101" i="6"/>
  <c r="S100" i="6"/>
  <c r="K100" i="6"/>
  <c r="I100" i="6"/>
  <c r="E100" i="6" s="1"/>
  <c r="B100" i="6"/>
  <c r="S99" i="6"/>
  <c r="I99" i="6"/>
  <c r="G99" i="6"/>
  <c r="G109" i="6" s="1"/>
  <c r="B99" i="6"/>
  <c r="S98" i="6"/>
  <c r="I98" i="6"/>
  <c r="E98" i="6" s="1"/>
  <c r="B98" i="6"/>
  <c r="Y97" i="6"/>
  <c r="S97" i="6"/>
  <c r="M97" i="6"/>
  <c r="I97" i="6"/>
  <c r="E97" i="6" s="1"/>
  <c r="B97" i="6"/>
  <c r="E99" i="6" l="1"/>
  <c r="K109" i="6"/>
  <c r="C97" i="6"/>
  <c r="Y109" i="6"/>
  <c r="C108" i="6"/>
  <c r="D97" i="6"/>
  <c r="S109" i="6"/>
  <c r="F107" i="12"/>
  <c r="E107" i="12" s="1"/>
  <c r="D107" i="12" s="1"/>
  <c r="C107" i="12"/>
  <c r="O107" i="12"/>
  <c r="C106" i="6"/>
  <c r="C107" i="6"/>
  <c r="O109" i="6"/>
  <c r="C101" i="6"/>
  <c r="P109" i="6"/>
  <c r="M98" i="6"/>
  <c r="C98" i="6" s="1"/>
  <c r="M103" i="6"/>
  <c r="C103" i="6" s="1"/>
  <c r="Q109" i="6"/>
  <c r="R109" i="6"/>
  <c r="N109" i="6"/>
  <c r="M100" i="6"/>
  <c r="D100" i="6" s="1"/>
  <c r="M99" i="6"/>
  <c r="C99" i="6" s="1"/>
  <c r="C105" i="6"/>
  <c r="D101" i="6"/>
  <c r="M104" i="6"/>
  <c r="C104" i="6" s="1"/>
  <c r="C102" i="6"/>
  <c r="D102" i="6"/>
  <c r="I109" i="6"/>
  <c r="E109" i="6" s="1"/>
  <c r="C91" i="12"/>
  <c r="D98" i="6" l="1"/>
  <c r="D99" i="6"/>
  <c r="M109" i="6"/>
  <c r="C109" i="6" s="1"/>
  <c r="C100" i="6"/>
  <c r="D103" i="6"/>
  <c r="D104" i="6"/>
  <c r="R92" i="6"/>
  <c r="Q92" i="6"/>
  <c r="P92" i="6"/>
  <c r="O92" i="6"/>
  <c r="N92" i="6"/>
  <c r="D109" i="6" l="1"/>
  <c r="R91" i="6"/>
  <c r="Q91" i="6"/>
  <c r="P91" i="6"/>
  <c r="O91" i="6"/>
  <c r="N91" i="6"/>
  <c r="R90" i="6"/>
  <c r="Q90" i="6"/>
  <c r="P90" i="6"/>
  <c r="O90" i="6"/>
  <c r="N90" i="6"/>
  <c r="R89" i="6"/>
  <c r="Q89" i="6"/>
  <c r="P89" i="6"/>
  <c r="O89" i="6"/>
  <c r="N89" i="6"/>
  <c r="Q88" i="6" l="1"/>
  <c r="P88" i="6"/>
  <c r="O88" i="6"/>
  <c r="N88" i="6"/>
  <c r="O89" i="12" l="1"/>
  <c r="O88" i="12"/>
  <c r="O87" i="12"/>
  <c r="O86" i="12"/>
  <c r="R87" i="6" l="1"/>
  <c r="Q87" i="6"/>
  <c r="P87" i="6"/>
  <c r="O87" i="6"/>
  <c r="N87" i="6"/>
  <c r="R86" i="6" l="1"/>
  <c r="Q86" i="6"/>
  <c r="P86" i="6"/>
  <c r="O86" i="6"/>
  <c r="N86" i="6"/>
  <c r="R85" i="6"/>
  <c r="Q85" i="6"/>
  <c r="P85" i="6"/>
  <c r="O85" i="6"/>
  <c r="N84" i="6" l="1"/>
  <c r="M94" i="12" l="1"/>
  <c r="J94" i="12"/>
  <c r="I94" i="12"/>
  <c r="H94" i="12"/>
  <c r="G94" i="12"/>
  <c r="B94" i="12"/>
  <c r="C93" i="12"/>
  <c r="B93" i="12"/>
  <c r="C92" i="12"/>
  <c r="B92" i="12"/>
  <c r="B91" i="12"/>
  <c r="C90" i="12"/>
  <c r="B90" i="12"/>
  <c r="C89" i="12"/>
  <c r="F89" i="12"/>
  <c r="E89" i="12" s="1"/>
  <c r="D89" i="12" s="1"/>
  <c r="B89" i="12"/>
  <c r="F88" i="12"/>
  <c r="E88" i="12" s="1"/>
  <c r="D88" i="12" s="1"/>
  <c r="C88" i="12"/>
  <c r="B88" i="12"/>
  <c r="C87" i="12"/>
  <c r="F87" i="12"/>
  <c r="E87" i="12" s="1"/>
  <c r="D87" i="12" s="1"/>
  <c r="B87" i="12"/>
  <c r="P94" i="12"/>
  <c r="F86" i="12"/>
  <c r="E86" i="12" s="1"/>
  <c r="D86" i="12" s="1"/>
  <c r="B86" i="12"/>
  <c r="F85" i="12"/>
  <c r="E85" i="12" s="1"/>
  <c r="D85" i="12" s="1"/>
  <c r="C85" i="12"/>
  <c r="B85" i="12"/>
  <c r="K94" i="12"/>
  <c r="F84" i="12"/>
  <c r="C84" i="12"/>
  <c r="B84" i="12"/>
  <c r="C83" i="12"/>
  <c r="F83" i="12"/>
  <c r="E83" i="12" s="1"/>
  <c r="D83" i="12" s="1"/>
  <c r="B83" i="12"/>
  <c r="O94" i="12"/>
  <c r="N94" i="12"/>
  <c r="L94" i="12"/>
  <c r="F82" i="12"/>
  <c r="E82" i="12"/>
  <c r="D82" i="12" s="1"/>
  <c r="B82" i="12"/>
  <c r="AD96" i="6"/>
  <c r="AC96" i="6"/>
  <c r="AB96" i="6"/>
  <c r="AA96" i="6"/>
  <c r="Z96" i="6"/>
  <c r="X96" i="6"/>
  <c r="W96" i="6"/>
  <c r="V96" i="6"/>
  <c r="U96" i="6"/>
  <c r="T96" i="6"/>
  <c r="L96" i="6"/>
  <c r="J96" i="6"/>
  <c r="H96" i="6"/>
  <c r="F96" i="6"/>
  <c r="B96" i="6"/>
  <c r="Y95" i="6"/>
  <c r="S95" i="6"/>
  <c r="B95" i="6"/>
  <c r="Y94" i="6"/>
  <c r="S94" i="6"/>
  <c r="B94" i="6"/>
  <c r="Y93" i="6"/>
  <c r="S93" i="6"/>
  <c r="B93" i="6"/>
  <c r="Y92" i="6"/>
  <c r="S92" i="6"/>
  <c r="B92" i="6"/>
  <c r="Y91" i="6"/>
  <c r="S91" i="6"/>
  <c r="I91" i="6"/>
  <c r="E91" i="6" s="1"/>
  <c r="B91" i="6"/>
  <c r="Y90" i="6"/>
  <c r="S90" i="6"/>
  <c r="I90" i="6"/>
  <c r="E90" i="6" s="1"/>
  <c r="B90" i="6"/>
  <c r="Y89" i="6"/>
  <c r="S89" i="6"/>
  <c r="I89" i="6"/>
  <c r="E89" i="6" s="1"/>
  <c r="B89" i="6"/>
  <c r="Y88" i="6"/>
  <c r="S88" i="6"/>
  <c r="K88" i="6"/>
  <c r="I88" i="6" s="1"/>
  <c r="E88" i="6" s="1"/>
  <c r="B88" i="6"/>
  <c r="Y87" i="6"/>
  <c r="S87" i="6"/>
  <c r="K87" i="6"/>
  <c r="I87" i="6" s="1"/>
  <c r="E87" i="6" s="1"/>
  <c r="B87" i="6"/>
  <c r="Y86" i="6"/>
  <c r="S86" i="6"/>
  <c r="I86" i="6"/>
  <c r="G86" i="6"/>
  <c r="G96" i="6" s="1"/>
  <c r="B86" i="6"/>
  <c r="Y85" i="6"/>
  <c r="S85" i="6"/>
  <c r="I85" i="6"/>
  <c r="E85" i="6" s="1"/>
  <c r="B85" i="6"/>
  <c r="Y84" i="6"/>
  <c r="S84" i="6"/>
  <c r="M84" i="6"/>
  <c r="I84" i="6"/>
  <c r="B84" i="6"/>
  <c r="K96" i="6" l="1"/>
  <c r="E86" i="6"/>
  <c r="I96" i="6"/>
  <c r="E96" i="6" s="1"/>
  <c r="C84" i="6"/>
  <c r="F94" i="12"/>
  <c r="E94" i="12" s="1"/>
  <c r="D94" i="12" s="1"/>
  <c r="Y96" i="6"/>
  <c r="R96" i="6"/>
  <c r="M92" i="6"/>
  <c r="C92" i="6" s="1"/>
  <c r="M88" i="6"/>
  <c r="C88" i="6" s="1"/>
  <c r="M89" i="6"/>
  <c r="C89" i="6" s="1"/>
  <c r="M94" i="6"/>
  <c r="C94" i="6" s="1"/>
  <c r="M86" i="6"/>
  <c r="C86" i="6" s="1"/>
  <c r="O96" i="6"/>
  <c r="M93" i="6"/>
  <c r="C93" i="6" s="1"/>
  <c r="M87" i="6"/>
  <c r="C87" i="6" s="1"/>
  <c r="M95" i="6"/>
  <c r="C95" i="6" s="1"/>
  <c r="N96" i="6"/>
  <c r="M85" i="6"/>
  <c r="C85" i="6" s="1"/>
  <c r="Q96" i="6"/>
  <c r="P96" i="6"/>
  <c r="M91" i="6"/>
  <c r="C91" i="6" s="1"/>
  <c r="S96" i="6"/>
  <c r="C82" i="12"/>
  <c r="E84" i="12"/>
  <c r="D84" i="12" s="1"/>
  <c r="C86" i="12"/>
  <c r="M90" i="6"/>
  <c r="C90" i="6" s="1"/>
  <c r="E84" i="6"/>
  <c r="D84" i="6" s="1"/>
  <c r="R82" i="6"/>
  <c r="Q82" i="6"/>
  <c r="P82" i="6"/>
  <c r="O82" i="6"/>
  <c r="Z82" i="6"/>
  <c r="N82" i="6" s="1"/>
  <c r="R81" i="6"/>
  <c r="Q81" i="6"/>
  <c r="P81" i="6"/>
  <c r="O81" i="6"/>
  <c r="N81" i="6"/>
  <c r="Q80" i="6"/>
  <c r="R80" i="6"/>
  <c r="P80" i="6"/>
  <c r="O80" i="6"/>
  <c r="N80" i="6"/>
  <c r="R79" i="6"/>
  <c r="Q79" i="6"/>
  <c r="P79" i="6"/>
  <c r="O79" i="6"/>
  <c r="N79" i="6"/>
  <c r="R78" i="6"/>
  <c r="Q78" i="6"/>
  <c r="P78" i="6"/>
  <c r="O78" i="6"/>
  <c r="N78" i="6"/>
  <c r="N77" i="6"/>
  <c r="P77" i="6"/>
  <c r="O77" i="6"/>
  <c r="R77" i="6"/>
  <c r="Q77" i="6"/>
  <c r="D88" i="6" l="1"/>
  <c r="D86" i="6"/>
  <c r="D87" i="6"/>
  <c r="D85" i="6"/>
  <c r="M96" i="6"/>
  <c r="C96" i="6" s="1"/>
  <c r="D89" i="6"/>
  <c r="D91" i="6"/>
  <c r="C94" i="12"/>
  <c r="D90" i="6"/>
  <c r="O79" i="12"/>
  <c r="O78" i="12"/>
  <c r="O77" i="12"/>
  <c r="O76" i="12"/>
  <c r="O75" i="12"/>
  <c r="L79" i="12"/>
  <c r="L78" i="12"/>
  <c r="L77" i="12"/>
  <c r="L76" i="12"/>
  <c r="L75" i="12"/>
  <c r="D96" i="6" l="1"/>
  <c r="P74" i="12"/>
  <c r="O74" i="12"/>
  <c r="L74" i="12"/>
  <c r="P73" i="12"/>
  <c r="L73" i="12"/>
  <c r="R76" i="6" l="1"/>
  <c r="Q76" i="6"/>
  <c r="P76" i="6"/>
  <c r="O76" i="6"/>
  <c r="N76" i="6"/>
  <c r="R75" i="6"/>
  <c r="P75" i="6"/>
  <c r="O75" i="6"/>
  <c r="N75" i="6"/>
  <c r="R74" i="6" l="1"/>
  <c r="P74" i="6"/>
  <c r="O74" i="6"/>
  <c r="N74" i="6"/>
  <c r="P73" i="6"/>
  <c r="O73" i="6"/>
  <c r="N73" i="6"/>
  <c r="P72" i="6"/>
  <c r="O72" i="6"/>
  <c r="N72" i="6"/>
  <c r="P71" i="6"/>
  <c r="O71" i="6"/>
  <c r="N71" i="6"/>
  <c r="O71" i="12" l="1"/>
  <c r="O70" i="12"/>
  <c r="O69" i="12"/>
  <c r="N69" i="12"/>
  <c r="L71" i="12"/>
  <c r="L70" i="12"/>
  <c r="L69" i="12"/>
  <c r="K71" i="12"/>
  <c r="K70" i="12"/>
  <c r="P81" i="12" l="1"/>
  <c r="O81" i="12"/>
  <c r="N81" i="12"/>
  <c r="M81" i="12"/>
  <c r="L81" i="12"/>
  <c r="K81" i="12"/>
  <c r="J81" i="12"/>
  <c r="I81" i="12"/>
  <c r="H81" i="12"/>
  <c r="G81" i="12"/>
  <c r="B81" i="12"/>
  <c r="C80" i="12"/>
  <c r="B80" i="12"/>
  <c r="C79" i="12"/>
  <c r="B79" i="12"/>
  <c r="C78" i="12"/>
  <c r="B78" i="12"/>
  <c r="C77" i="12"/>
  <c r="B77" i="12"/>
  <c r="F76" i="12"/>
  <c r="E76" i="12" s="1"/>
  <c r="D76" i="12" s="1"/>
  <c r="C76" i="12"/>
  <c r="B76" i="12"/>
  <c r="F75" i="12"/>
  <c r="E75" i="12" s="1"/>
  <c r="D75" i="12" s="1"/>
  <c r="C75" i="12"/>
  <c r="B75" i="12"/>
  <c r="F74" i="12"/>
  <c r="E74" i="12" s="1"/>
  <c r="D74" i="12" s="1"/>
  <c r="C74" i="12"/>
  <c r="B74" i="12"/>
  <c r="F73" i="12"/>
  <c r="E73" i="12" s="1"/>
  <c r="D73" i="12" s="1"/>
  <c r="C73" i="12"/>
  <c r="B73" i="12"/>
  <c r="F72" i="12"/>
  <c r="E72" i="12" s="1"/>
  <c r="D72" i="12" s="1"/>
  <c r="C72" i="12"/>
  <c r="B72" i="12"/>
  <c r="F71" i="12"/>
  <c r="E71" i="12" s="1"/>
  <c r="D71" i="12" s="1"/>
  <c r="C71" i="12"/>
  <c r="B71" i="12"/>
  <c r="F70" i="12"/>
  <c r="E70" i="12" s="1"/>
  <c r="D70" i="12" s="1"/>
  <c r="C70" i="12"/>
  <c r="B70" i="12"/>
  <c r="F69" i="12"/>
  <c r="E69" i="12" s="1"/>
  <c r="D69" i="12" s="1"/>
  <c r="C69" i="12"/>
  <c r="B69" i="12"/>
  <c r="AD83" i="6"/>
  <c r="AC83" i="6"/>
  <c r="AB83" i="6"/>
  <c r="Z83" i="6"/>
  <c r="X83" i="6"/>
  <c r="W83" i="6"/>
  <c r="V83" i="6"/>
  <c r="U83" i="6"/>
  <c r="T83" i="6"/>
  <c r="L83" i="6"/>
  <c r="J83" i="6"/>
  <c r="H83" i="6"/>
  <c r="F83" i="6"/>
  <c r="B83" i="6"/>
  <c r="Y82" i="6"/>
  <c r="S82" i="6"/>
  <c r="M82" i="6"/>
  <c r="B82" i="6"/>
  <c r="Y81" i="6"/>
  <c r="S81" i="6"/>
  <c r="M81" i="6"/>
  <c r="B81" i="6"/>
  <c r="Y80" i="6"/>
  <c r="S80" i="6"/>
  <c r="M80" i="6"/>
  <c r="B80" i="6"/>
  <c r="Y79" i="6"/>
  <c r="S79" i="6"/>
  <c r="B79" i="6"/>
  <c r="Y78" i="6"/>
  <c r="S78" i="6"/>
  <c r="M78" i="6"/>
  <c r="I78" i="6"/>
  <c r="E78" i="6" s="1"/>
  <c r="D78" i="6" s="1"/>
  <c r="B78" i="6"/>
  <c r="Y77" i="6"/>
  <c r="S77" i="6"/>
  <c r="M77" i="6"/>
  <c r="I77" i="6"/>
  <c r="E77" i="6" s="1"/>
  <c r="B77" i="6"/>
  <c r="Y76" i="6"/>
  <c r="S76" i="6"/>
  <c r="M76" i="6"/>
  <c r="I76" i="6"/>
  <c r="E76" i="6" s="1"/>
  <c r="B76" i="6"/>
  <c r="Y75" i="6"/>
  <c r="S75" i="6"/>
  <c r="M75" i="6"/>
  <c r="K75" i="6"/>
  <c r="I75" i="6" s="1"/>
  <c r="E75" i="6" s="1"/>
  <c r="B75" i="6"/>
  <c r="Y74" i="6"/>
  <c r="S74" i="6"/>
  <c r="M74" i="6"/>
  <c r="K74" i="6"/>
  <c r="I74" i="6" s="1"/>
  <c r="E74" i="6" s="1"/>
  <c r="B74" i="6"/>
  <c r="Y73" i="6"/>
  <c r="S73" i="6"/>
  <c r="R83" i="6"/>
  <c r="Q83" i="6"/>
  <c r="M73" i="6"/>
  <c r="I73" i="6"/>
  <c r="G73" i="6"/>
  <c r="B73" i="6"/>
  <c r="Y72" i="6"/>
  <c r="S72" i="6"/>
  <c r="P83" i="6"/>
  <c r="M72" i="6"/>
  <c r="I72" i="6"/>
  <c r="E72" i="6" s="1"/>
  <c r="B72" i="6"/>
  <c r="Y71" i="6"/>
  <c r="S71" i="6"/>
  <c r="N83" i="6"/>
  <c r="I71" i="6"/>
  <c r="E71" i="6" s="1"/>
  <c r="B71" i="6"/>
  <c r="C78" i="6" l="1"/>
  <c r="K83" i="6"/>
  <c r="F81" i="12"/>
  <c r="E81" i="12" s="1"/>
  <c r="D81" i="12" s="1"/>
  <c r="C72" i="6"/>
  <c r="C73" i="6"/>
  <c r="C75" i="6"/>
  <c r="S83" i="6"/>
  <c r="C81" i="12"/>
  <c r="E73" i="6"/>
  <c r="D73" i="6" s="1"/>
  <c r="C77" i="6"/>
  <c r="C80" i="6"/>
  <c r="C81" i="6"/>
  <c r="C82" i="6"/>
  <c r="C74" i="6"/>
  <c r="C76" i="6"/>
  <c r="D74" i="6"/>
  <c r="D76" i="6"/>
  <c r="D72" i="6"/>
  <c r="D75" i="6"/>
  <c r="I83" i="6"/>
  <c r="D77" i="6"/>
  <c r="M79" i="6"/>
  <c r="C79" i="6" s="1"/>
  <c r="G83" i="6"/>
  <c r="E83" i="6" s="1"/>
  <c r="AA83" i="6"/>
  <c r="Y83" i="6" s="1"/>
  <c r="M71" i="6"/>
  <c r="R69" i="6"/>
  <c r="Q69" i="6"/>
  <c r="P69" i="6"/>
  <c r="O69" i="6"/>
  <c r="N69" i="6"/>
  <c r="C71" i="6" l="1"/>
  <c r="D71" i="6"/>
  <c r="O83" i="6"/>
  <c r="M83" i="6" s="1"/>
  <c r="C83" i="6" s="1"/>
  <c r="R68" i="6"/>
  <c r="Q68" i="6"/>
  <c r="P68" i="6"/>
  <c r="O68" i="6"/>
  <c r="N68" i="6"/>
  <c r="R67" i="6"/>
  <c r="Q67" i="6"/>
  <c r="P67" i="6"/>
  <c r="O67" i="6"/>
  <c r="N67" i="6"/>
  <c r="D83" i="6" l="1"/>
  <c r="R66" i="6"/>
  <c r="Q66" i="6"/>
  <c r="P66" i="6"/>
  <c r="N66" i="6"/>
  <c r="AA66" i="6" l="1"/>
  <c r="O66" i="6" s="1"/>
  <c r="R65" i="6"/>
  <c r="Q65" i="6"/>
  <c r="P65" i="6"/>
  <c r="O65" i="6"/>
  <c r="N65" i="6"/>
  <c r="R64" i="6" l="1"/>
  <c r="Q64" i="6"/>
  <c r="P64" i="6"/>
  <c r="O64" i="6"/>
  <c r="N64" i="6"/>
  <c r="R63" i="6"/>
  <c r="Q63" i="6"/>
  <c r="P63" i="6"/>
  <c r="O63" i="6"/>
  <c r="N63" i="6"/>
  <c r="AA62" i="6" l="1"/>
  <c r="O62" i="6"/>
  <c r="R62" i="6"/>
  <c r="R61" i="6"/>
  <c r="R60" i="6"/>
  <c r="Q62" i="6"/>
  <c r="Q61" i="6"/>
  <c r="Q60" i="6"/>
  <c r="P62" i="6"/>
  <c r="P61" i="6"/>
  <c r="P60" i="6"/>
  <c r="O61" i="6"/>
  <c r="O60" i="6"/>
  <c r="N62" i="6"/>
  <c r="N61" i="6"/>
  <c r="N60" i="6"/>
  <c r="P59" i="6" l="1"/>
  <c r="O59" i="6"/>
  <c r="N59" i="6"/>
  <c r="P58" i="6" l="1"/>
  <c r="O58" i="6"/>
  <c r="N58" i="6"/>
  <c r="B4" i="12" l="1"/>
  <c r="C4" i="12"/>
  <c r="F4" i="12"/>
  <c r="E4" i="12" s="1"/>
  <c r="D4" i="12" s="1"/>
  <c r="B5" i="12"/>
  <c r="C5" i="12"/>
  <c r="F5" i="12"/>
  <c r="E5" i="12" s="1"/>
  <c r="D5" i="12" s="1"/>
  <c r="B6" i="12"/>
  <c r="C6" i="12"/>
  <c r="F6" i="12"/>
  <c r="E6" i="12" s="1"/>
  <c r="D6" i="12" s="1"/>
  <c r="B7" i="12"/>
  <c r="C7" i="12"/>
  <c r="F7" i="12"/>
  <c r="E7" i="12" s="1"/>
  <c r="D7" i="12" s="1"/>
  <c r="B8" i="12"/>
  <c r="C8" i="12"/>
  <c r="F8" i="12"/>
  <c r="E8" i="12" s="1"/>
  <c r="D8" i="12" s="1"/>
  <c r="B9" i="12"/>
  <c r="C9" i="12"/>
  <c r="F9" i="12"/>
  <c r="E9" i="12" s="1"/>
  <c r="D9" i="12" s="1"/>
  <c r="B10" i="12"/>
  <c r="C10" i="12"/>
  <c r="F10" i="12"/>
  <c r="E10" i="12" s="1"/>
  <c r="D10" i="12" s="1"/>
  <c r="B11" i="12"/>
  <c r="C11" i="12"/>
  <c r="F11" i="12"/>
  <c r="E11" i="12" s="1"/>
  <c r="D11" i="12" s="1"/>
  <c r="B12" i="12"/>
  <c r="C12" i="12"/>
  <c r="F12" i="12"/>
  <c r="E12" i="12" s="1"/>
  <c r="D12" i="12" s="1"/>
  <c r="B13" i="12"/>
  <c r="C13" i="12"/>
  <c r="F13" i="12"/>
  <c r="E13" i="12" s="1"/>
  <c r="D13" i="12" s="1"/>
  <c r="B14" i="12"/>
  <c r="C14" i="12"/>
  <c r="F14" i="12"/>
  <c r="E14" i="12" s="1"/>
  <c r="D14" i="12" s="1"/>
  <c r="B15" i="12"/>
  <c r="C15" i="12"/>
  <c r="F15" i="12"/>
  <c r="E15" i="12" s="1"/>
  <c r="D15" i="12" s="1"/>
  <c r="B16" i="12"/>
  <c r="G16" i="12"/>
  <c r="H16" i="12"/>
  <c r="I16" i="12"/>
  <c r="J16" i="12"/>
  <c r="K16" i="12"/>
  <c r="L16" i="12"/>
  <c r="M16" i="12"/>
  <c r="N16" i="12"/>
  <c r="O16" i="12"/>
  <c r="P16" i="12"/>
  <c r="B17" i="12"/>
  <c r="C17" i="12"/>
  <c r="B18" i="12"/>
  <c r="C18" i="12"/>
  <c r="B19" i="12"/>
  <c r="C19" i="12"/>
  <c r="B20" i="12"/>
  <c r="C20" i="12"/>
  <c r="B21" i="12"/>
  <c r="C21" i="12"/>
  <c r="B22" i="12"/>
  <c r="C22" i="12"/>
  <c r="B23" i="12"/>
  <c r="C23" i="12"/>
  <c r="B24" i="12"/>
  <c r="C24" i="12"/>
  <c r="B25" i="12"/>
  <c r="C25" i="12"/>
  <c r="B26" i="12"/>
  <c r="C26" i="12"/>
  <c r="B27" i="12"/>
  <c r="C27" i="12"/>
  <c r="B28" i="12"/>
  <c r="C28" i="12"/>
  <c r="B29" i="12"/>
  <c r="G29" i="12"/>
  <c r="H29" i="12"/>
  <c r="I29" i="12"/>
  <c r="J29" i="12"/>
  <c r="K29" i="12"/>
  <c r="L29" i="12"/>
  <c r="M29" i="12"/>
  <c r="N29" i="12"/>
  <c r="O29" i="12"/>
  <c r="P29" i="12"/>
  <c r="B30" i="12"/>
  <c r="C30" i="12"/>
  <c r="F30" i="12"/>
  <c r="E30" i="12" s="1"/>
  <c r="D30" i="12" s="1"/>
  <c r="B31" i="12"/>
  <c r="C31" i="12"/>
  <c r="F31" i="12"/>
  <c r="E31" i="12" s="1"/>
  <c r="D31" i="12" s="1"/>
  <c r="B32" i="12"/>
  <c r="C32" i="12"/>
  <c r="F32" i="12"/>
  <c r="E32" i="12" s="1"/>
  <c r="D32" i="12" s="1"/>
  <c r="B33" i="12"/>
  <c r="C33" i="12"/>
  <c r="F33" i="12"/>
  <c r="E33" i="12" s="1"/>
  <c r="D33" i="12" s="1"/>
  <c r="B34" i="12"/>
  <c r="C34" i="12"/>
  <c r="F34" i="12"/>
  <c r="E34" i="12" s="1"/>
  <c r="D34" i="12" s="1"/>
  <c r="B35" i="12"/>
  <c r="C35" i="12"/>
  <c r="F35" i="12"/>
  <c r="E35" i="12" s="1"/>
  <c r="D35" i="12" s="1"/>
  <c r="B36" i="12"/>
  <c r="C36" i="12"/>
  <c r="F36" i="12"/>
  <c r="E36" i="12" s="1"/>
  <c r="D36" i="12" s="1"/>
  <c r="B37" i="12"/>
  <c r="C37" i="12"/>
  <c r="F37" i="12"/>
  <c r="E37" i="12" s="1"/>
  <c r="D37" i="12" s="1"/>
  <c r="B38" i="12"/>
  <c r="C38" i="12"/>
  <c r="B39" i="12"/>
  <c r="C39" i="12"/>
  <c r="B40" i="12"/>
  <c r="C40" i="12"/>
  <c r="B41" i="12"/>
  <c r="C41" i="12"/>
  <c r="B42" i="12"/>
  <c r="G42" i="12"/>
  <c r="H42" i="12"/>
  <c r="I42" i="12"/>
  <c r="J42" i="12"/>
  <c r="K42" i="12"/>
  <c r="L42" i="12"/>
  <c r="M42" i="12"/>
  <c r="N42" i="12"/>
  <c r="O42" i="12"/>
  <c r="P42" i="12"/>
  <c r="B43" i="12"/>
  <c r="C43" i="12"/>
  <c r="F43" i="12"/>
  <c r="E43" i="12" s="1"/>
  <c r="D43" i="12" s="1"/>
  <c r="B44" i="12"/>
  <c r="F44" i="12"/>
  <c r="E44" i="12" s="1"/>
  <c r="D44" i="12" s="1"/>
  <c r="P44" i="12"/>
  <c r="C44" i="12" s="1"/>
  <c r="B45" i="12"/>
  <c r="C45" i="12"/>
  <c r="F45" i="12"/>
  <c r="E45" i="12" s="1"/>
  <c r="D45" i="12" s="1"/>
  <c r="B46" i="12"/>
  <c r="C46" i="12"/>
  <c r="F46" i="12"/>
  <c r="E46" i="12" s="1"/>
  <c r="D46" i="12" s="1"/>
  <c r="B47" i="12"/>
  <c r="C47" i="12"/>
  <c r="F47" i="12"/>
  <c r="E47" i="12" s="1"/>
  <c r="D47" i="12" s="1"/>
  <c r="B48" i="12"/>
  <c r="C48" i="12"/>
  <c r="F48" i="12"/>
  <c r="E48" i="12" s="1"/>
  <c r="D48" i="12" s="1"/>
  <c r="B49" i="12"/>
  <c r="C49" i="12"/>
  <c r="F49" i="12"/>
  <c r="E49" i="12" s="1"/>
  <c r="D49" i="12" s="1"/>
  <c r="B50" i="12"/>
  <c r="C50" i="12"/>
  <c r="F50" i="12"/>
  <c r="E50" i="12" s="1"/>
  <c r="D50" i="12" s="1"/>
  <c r="B51" i="12"/>
  <c r="C51" i="12"/>
  <c r="B52" i="12"/>
  <c r="C52" i="12"/>
  <c r="B53" i="12"/>
  <c r="C53" i="12"/>
  <c r="B54" i="12"/>
  <c r="L54" i="12"/>
  <c r="L55" i="12" s="1"/>
  <c r="N54" i="12"/>
  <c r="N55" i="12" s="1"/>
  <c r="O54" i="12"/>
  <c r="O55" i="12" s="1"/>
  <c r="B55" i="12"/>
  <c r="G55" i="12"/>
  <c r="H55" i="12"/>
  <c r="I55" i="12"/>
  <c r="J55" i="12"/>
  <c r="K55" i="12"/>
  <c r="M55" i="12"/>
  <c r="P55" i="12"/>
  <c r="M68" i="12"/>
  <c r="K68" i="12"/>
  <c r="J68" i="12"/>
  <c r="I68" i="12"/>
  <c r="H68" i="12"/>
  <c r="G68" i="12"/>
  <c r="B68" i="12"/>
  <c r="O68" i="12"/>
  <c r="N68" i="12"/>
  <c r="L68" i="12"/>
  <c r="B67" i="12"/>
  <c r="C66" i="12"/>
  <c r="B66" i="12"/>
  <c r="C65" i="12"/>
  <c r="B65" i="12"/>
  <c r="C64" i="12"/>
  <c r="B64" i="12"/>
  <c r="F63" i="12"/>
  <c r="E63" i="12" s="1"/>
  <c r="D63" i="12" s="1"/>
  <c r="C63" i="12"/>
  <c r="B63" i="12"/>
  <c r="F62" i="12"/>
  <c r="E62" i="12" s="1"/>
  <c r="D62" i="12" s="1"/>
  <c r="C62" i="12"/>
  <c r="B62" i="12"/>
  <c r="F61" i="12"/>
  <c r="E61" i="12" s="1"/>
  <c r="D61" i="12" s="1"/>
  <c r="C61" i="12"/>
  <c r="B61" i="12"/>
  <c r="F60" i="12"/>
  <c r="E60" i="12" s="1"/>
  <c r="D60" i="12" s="1"/>
  <c r="C60" i="12"/>
  <c r="B60" i="12"/>
  <c r="F59" i="12"/>
  <c r="E59" i="12" s="1"/>
  <c r="D59" i="12" s="1"/>
  <c r="C59" i="12"/>
  <c r="B59" i="12"/>
  <c r="F58" i="12"/>
  <c r="E58" i="12" s="1"/>
  <c r="D58" i="12" s="1"/>
  <c r="C58" i="12"/>
  <c r="B58" i="12"/>
  <c r="F57" i="12"/>
  <c r="E57" i="12" s="1"/>
  <c r="D57" i="12" s="1"/>
  <c r="C57" i="12"/>
  <c r="B57" i="12"/>
  <c r="F56" i="12"/>
  <c r="E56" i="12" s="1"/>
  <c r="D56" i="12" s="1"/>
  <c r="B56" i="12"/>
  <c r="C29" i="12" l="1"/>
  <c r="C16" i="12"/>
  <c r="F55" i="12"/>
  <c r="E55" i="12" s="1"/>
  <c r="D55" i="12" s="1"/>
  <c r="F42" i="12"/>
  <c r="E42" i="12" s="1"/>
  <c r="D42" i="12" s="1"/>
  <c r="C42" i="12"/>
  <c r="F29" i="12"/>
  <c r="E29" i="12" s="1"/>
  <c r="D29" i="12" s="1"/>
  <c r="F16" i="12"/>
  <c r="E16" i="12" s="1"/>
  <c r="D16" i="12" s="1"/>
  <c r="C55" i="12"/>
  <c r="C54" i="12"/>
  <c r="F68" i="12"/>
  <c r="E68" i="12" s="1"/>
  <c r="D68" i="12" s="1"/>
  <c r="C67" i="12"/>
  <c r="AD70" i="6"/>
  <c r="AC70" i="6"/>
  <c r="AB70" i="6"/>
  <c r="AA70" i="6"/>
  <c r="Z70" i="6"/>
  <c r="X70" i="6"/>
  <c r="W70" i="6"/>
  <c r="V70" i="6"/>
  <c r="U70" i="6"/>
  <c r="T70" i="6"/>
  <c r="L70" i="6"/>
  <c r="J70" i="6"/>
  <c r="H70" i="6"/>
  <c r="F70" i="6"/>
  <c r="B70" i="6"/>
  <c r="Y69" i="6"/>
  <c r="S69" i="6"/>
  <c r="M69" i="6"/>
  <c r="B69" i="6"/>
  <c r="Y68" i="6"/>
  <c r="S68" i="6"/>
  <c r="M68" i="6"/>
  <c r="B68" i="6"/>
  <c r="Y67" i="6"/>
  <c r="S67" i="6"/>
  <c r="M67" i="6"/>
  <c r="B67" i="6"/>
  <c r="Y66" i="6"/>
  <c r="S66" i="6"/>
  <c r="M66" i="6"/>
  <c r="B66" i="6"/>
  <c r="Y65" i="6"/>
  <c r="S65" i="6"/>
  <c r="M65" i="6"/>
  <c r="I65" i="6"/>
  <c r="E65" i="6" s="1"/>
  <c r="B65" i="6"/>
  <c r="Y64" i="6"/>
  <c r="S64" i="6"/>
  <c r="M64" i="6"/>
  <c r="I64" i="6"/>
  <c r="E64" i="6" s="1"/>
  <c r="B64" i="6"/>
  <c r="Y63" i="6"/>
  <c r="S63" i="6"/>
  <c r="M63" i="6"/>
  <c r="I63" i="6"/>
  <c r="E63" i="6"/>
  <c r="B63" i="6"/>
  <c r="Y62" i="6"/>
  <c r="S62" i="6"/>
  <c r="R70" i="6"/>
  <c r="M62" i="6"/>
  <c r="K62" i="6"/>
  <c r="I62" i="6"/>
  <c r="E62" i="6" s="1"/>
  <c r="B62" i="6"/>
  <c r="Y61" i="6"/>
  <c r="S61" i="6"/>
  <c r="M61" i="6"/>
  <c r="K61" i="6"/>
  <c r="I61" i="6" s="1"/>
  <c r="E61" i="6" s="1"/>
  <c r="B61" i="6"/>
  <c r="Y60" i="6"/>
  <c r="S60" i="6"/>
  <c r="M60" i="6"/>
  <c r="I60" i="6"/>
  <c r="G60" i="6"/>
  <c r="G70" i="6" s="1"/>
  <c r="B60" i="6"/>
  <c r="Y59" i="6"/>
  <c r="S59" i="6"/>
  <c r="M59" i="6"/>
  <c r="I59" i="6"/>
  <c r="E59" i="6" s="1"/>
  <c r="B59" i="6"/>
  <c r="Y58" i="6"/>
  <c r="S58" i="6"/>
  <c r="Q70" i="6"/>
  <c r="P70" i="6"/>
  <c r="M58" i="6"/>
  <c r="I58" i="6"/>
  <c r="B58" i="6"/>
  <c r="E60" i="6" l="1"/>
  <c r="D65" i="6"/>
  <c r="I70" i="6"/>
  <c r="D64" i="6"/>
  <c r="K70" i="6"/>
  <c r="C62" i="6"/>
  <c r="D59" i="6"/>
  <c r="C59" i="6"/>
  <c r="Y70" i="6"/>
  <c r="S70" i="6"/>
  <c r="C58" i="6"/>
  <c r="C60" i="6"/>
  <c r="C66" i="6"/>
  <c r="C67" i="6"/>
  <c r="C68" i="6"/>
  <c r="C69" i="6"/>
  <c r="C61" i="6"/>
  <c r="C65" i="6"/>
  <c r="D60" i="6"/>
  <c r="D61" i="6"/>
  <c r="D62" i="6"/>
  <c r="D63" i="6"/>
  <c r="C63" i="6"/>
  <c r="E70" i="6"/>
  <c r="N70" i="6"/>
  <c r="O70" i="6"/>
  <c r="E58" i="6"/>
  <c r="D58" i="6" s="1"/>
  <c r="C64" i="6"/>
  <c r="M70" i="6" l="1"/>
  <c r="C70" i="6" s="1"/>
  <c r="R56" i="6"/>
  <c r="Q56" i="6"/>
  <c r="P56" i="6"/>
  <c r="O56" i="6"/>
  <c r="N56" i="6"/>
  <c r="R55" i="6"/>
  <c r="Q55" i="6"/>
  <c r="P55" i="6"/>
  <c r="O55" i="6"/>
  <c r="N55" i="6"/>
  <c r="R54" i="6"/>
  <c r="Q54" i="6"/>
  <c r="P54" i="6"/>
  <c r="O54" i="6"/>
  <c r="N54" i="6"/>
  <c r="D70" i="6" l="1"/>
  <c r="R53" i="6"/>
  <c r="Q53" i="6"/>
  <c r="P53" i="6"/>
  <c r="O53" i="6"/>
  <c r="N53" i="6"/>
  <c r="R52" i="6"/>
  <c r="Q52" i="6"/>
  <c r="P52" i="6"/>
  <c r="O52" i="6"/>
  <c r="N52" i="6"/>
  <c r="Q45" i="6" l="1"/>
  <c r="P45" i="6"/>
  <c r="O45" i="6"/>
  <c r="N45" i="6"/>
  <c r="Q51" i="6" l="1"/>
  <c r="P51" i="6"/>
  <c r="O51" i="6"/>
  <c r="N51" i="6"/>
  <c r="Q50" i="6" l="1"/>
  <c r="P50" i="6"/>
  <c r="O50" i="6"/>
  <c r="N50" i="6"/>
  <c r="R49" i="6" l="1"/>
  <c r="Q49" i="6"/>
  <c r="P49" i="6"/>
  <c r="O49" i="6"/>
  <c r="N49" i="6"/>
  <c r="Q48" i="6" l="1"/>
  <c r="P48" i="6"/>
  <c r="O48" i="6"/>
  <c r="N48" i="6"/>
  <c r="Q47" i="6"/>
  <c r="P47" i="6"/>
  <c r="O47" i="6"/>
  <c r="N47" i="6"/>
  <c r="O46" i="6" l="1"/>
  <c r="Q46" i="6" l="1"/>
  <c r="P46" i="6"/>
  <c r="N46" i="6"/>
  <c r="M46" i="6" s="1"/>
  <c r="N57" i="6" l="1"/>
  <c r="AD57" i="6"/>
  <c r="AC57" i="6"/>
  <c r="AB57" i="6"/>
  <c r="AA57" i="6"/>
  <c r="Z57" i="6"/>
  <c r="X57" i="6"/>
  <c r="W57" i="6"/>
  <c r="V57" i="6"/>
  <c r="U57" i="6"/>
  <c r="T57" i="6"/>
  <c r="R57" i="6"/>
  <c r="Q57" i="6"/>
  <c r="P57" i="6"/>
  <c r="O57" i="6"/>
  <c r="L57" i="6"/>
  <c r="J57" i="6"/>
  <c r="H57" i="6"/>
  <c r="F57" i="6"/>
  <c r="B57" i="6"/>
  <c r="Y56" i="6"/>
  <c r="S56" i="6"/>
  <c r="M56" i="6"/>
  <c r="B56" i="6"/>
  <c r="Y55" i="6"/>
  <c r="S55" i="6"/>
  <c r="M55" i="6"/>
  <c r="B55" i="6"/>
  <c r="Y54" i="6"/>
  <c r="S54" i="6"/>
  <c r="M54" i="6"/>
  <c r="B54" i="6"/>
  <c r="Y53" i="6"/>
  <c r="S53" i="6"/>
  <c r="M53" i="6"/>
  <c r="B53" i="6"/>
  <c r="Y52" i="6"/>
  <c r="S52" i="6"/>
  <c r="M52" i="6"/>
  <c r="I52" i="6"/>
  <c r="E52" i="6" s="1"/>
  <c r="B52" i="6"/>
  <c r="Y51" i="6"/>
  <c r="S51" i="6"/>
  <c r="M51" i="6"/>
  <c r="I51" i="6"/>
  <c r="E51" i="6"/>
  <c r="B51" i="6"/>
  <c r="Y50" i="6"/>
  <c r="S50" i="6"/>
  <c r="M50" i="6"/>
  <c r="I50" i="6"/>
  <c r="E50" i="6" s="1"/>
  <c r="B50" i="6"/>
  <c r="Y49" i="6"/>
  <c r="S49" i="6"/>
  <c r="M49" i="6"/>
  <c r="K49" i="6"/>
  <c r="B49" i="6"/>
  <c r="Y48" i="6"/>
  <c r="S48" i="6"/>
  <c r="M48" i="6"/>
  <c r="K48" i="6"/>
  <c r="I48" i="6"/>
  <c r="E48" i="6"/>
  <c r="B48" i="6"/>
  <c r="Y47" i="6"/>
  <c r="S47" i="6"/>
  <c r="M47" i="6"/>
  <c r="I47" i="6"/>
  <c r="G47" i="6"/>
  <c r="E47" i="6" s="1"/>
  <c r="B47" i="6"/>
  <c r="Y46" i="6"/>
  <c r="S46" i="6"/>
  <c r="I46" i="6"/>
  <c r="E46" i="6" s="1"/>
  <c r="B46" i="6"/>
  <c r="Y45" i="6"/>
  <c r="S45" i="6"/>
  <c r="I45" i="6"/>
  <c r="E45" i="6" s="1"/>
  <c r="B45" i="6"/>
  <c r="K57" i="6" l="1"/>
  <c r="I49" i="6"/>
  <c r="E49" i="6" s="1"/>
  <c r="D51" i="6"/>
  <c r="D52" i="6"/>
  <c r="C56" i="6"/>
  <c r="C55" i="6"/>
  <c r="C53" i="6"/>
  <c r="C50" i="6"/>
  <c r="D46" i="6"/>
  <c r="Y57" i="6"/>
  <c r="M45" i="6"/>
  <c r="C45" i="6" s="1"/>
  <c r="S57" i="6"/>
  <c r="C46" i="6"/>
  <c r="C49" i="6"/>
  <c r="D47" i="6"/>
  <c r="C47" i="6"/>
  <c r="M57" i="6"/>
  <c r="C54" i="6"/>
  <c r="D48" i="6"/>
  <c r="C48" i="6"/>
  <c r="D49" i="6"/>
  <c r="C51" i="6"/>
  <c r="G57" i="6"/>
  <c r="D50" i="6"/>
  <c r="I57" i="6"/>
  <c r="C52" i="6"/>
  <c r="E57" i="6" l="1"/>
  <c r="D45" i="6"/>
  <c r="C57" i="6"/>
  <c r="D57" i="6"/>
  <c r="M40" i="6"/>
  <c r="M41" i="6"/>
  <c r="M42" i="6"/>
  <c r="M43" i="6"/>
  <c r="S42" i="6"/>
  <c r="S43" i="6"/>
  <c r="Y40" i="6"/>
  <c r="Y41" i="6"/>
  <c r="Y42" i="6"/>
  <c r="Y43" i="6"/>
  <c r="S40" i="6"/>
  <c r="S41" i="6"/>
  <c r="R17" i="6" l="1"/>
  <c r="R16" i="6"/>
  <c r="R15" i="6"/>
  <c r="R14" i="6"/>
  <c r="R13" i="6"/>
  <c r="R12" i="6"/>
  <c r="R10" i="6"/>
  <c r="Q17" i="6"/>
  <c r="Q16" i="6"/>
  <c r="Q15" i="6"/>
  <c r="Q14" i="6"/>
  <c r="Q13" i="6"/>
  <c r="Q12" i="6"/>
  <c r="Q11" i="6"/>
  <c r="Q10" i="6"/>
  <c r="Q9" i="6"/>
  <c r="Q8" i="6"/>
  <c r="Q7" i="6"/>
  <c r="V18" i="6"/>
  <c r="P17" i="6"/>
  <c r="P16" i="6"/>
  <c r="P15" i="6"/>
  <c r="P14" i="6"/>
  <c r="P13" i="6"/>
  <c r="P12" i="6"/>
  <c r="P11" i="6"/>
  <c r="P10" i="6"/>
  <c r="P9" i="6"/>
  <c r="P8" i="6"/>
  <c r="P7" i="6"/>
  <c r="P6" i="6"/>
  <c r="O18" i="6"/>
  <c r="AD18" i="6"/>
  <c r="AC18" i="6"/>
  <c r="AB18" i="6"/>
  <c r="AA18" i="6"/>
  <c r="Y6" i="6"/>
  <c r="Y7" i="6"/>
  <c r="Y8" i="6"/>
  <c r="Y9" i="6"/>
  <c r="Y10" i="6"/>
  <c r="Y11" i="6"/>
  <c r="Y12" i="6"/>
  <c r="Y13" i="6"/>
  <c r="Y14" i="6"/>
  <c r="Y15" i="6"/>
  <c r="Y16" i="6"/>
  <c r="Y17" i="6"/>
  <c r="Z18" i="6"/>
  <c r="W18" i="6"/>
  <c r="X18" i="6"/>
  <c r="R18" i="6" l="1"/>
  <c r="Q18" i="6"/>
  <c r="P18" i="6"/>
  <c r="N18" i="6"/>
  <c r="Y18" i="6"/>
  <c r="U18" i="6"/>
  <c r="T18" i="6"/>
  <c r="C43" i="6" l="1"/>
  <c r="C42" i="6"/>
  <c r="C41" i="6"/>
  <c r="C40" i="6"/>
  <c r="AD44" i="6"/>
  <c r="AC44" i="6"/>
  <c r="AB44" i="6"/>
  <c r="AA44" i="6"/>
  <c r="Z44" i="6"/>
  <c r="Y39" i="6"/>
  <c r="Y38" i="6"/>
  <c r="Y37" i="6"/>
  <c r="Y36" i="6"/>
  <c r="Y35" i="6"/>
  <c r="Y34" i="6"/>
  <c r="Y33" i="6"/>
  <c r="Y32" i="6"/>
  <c r="AC31" i="6"/>
  <c r="AB31" i="6"/>
  <c r="AA31" i="6"/>
  <c r="AD31" i="6"/>
  <c r="Y30" i="6"/>
  <c r="Y29" i="6"/>
  <c r="Y28" i="6"/>
  <c r="Y27" i="6"/>
  <c r="Y26" i="6"/>
  <c r="Y25" i="6"/>
  <c r="Y24" i="6"/>
  <c r="Y23" i="6"/>
  <c r="Y22" i="6"/>
  <c r="Y21" i="6"/>
  <c r="Y20" i="6"/>
  <c r="Y19" i="6"/>
  <c r="X44" i="6"/>
  <c r="W44" i="6"/>
  <c r="V44" i="6"/>
  <c r="U44" i="6"/>
  <c r="T44" i="6"/>
  <c r="S39" i="6"/>
  <c r="S38" i="6"/>
  <c r="S37" i="6"/>
  <c r="S36" i="6"/>
  <c r="S35" i="6"/>
  <c r="S34" i="6"/>
  <c r="S33" i="6"/>
  <c r="S32" i="6"/>
  <c r="W31" i="6"/>
  <c r="V31" i="6"/>
  <c r="U31" i="6"/>
  <c r="X31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S18" i="6" l="1"/>
  <c r="Y44" i="6"/>
  <c r="S44" i="6"/>
  <c r="Z31" i="6"/>
  <c r="Y31" i="6" s="1"/>
  <c r="T31" i="6"/>
  <c r="S31" i="6" s="1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N44" i="6" l="1"/>
  <c r="F44" i="6"/>
  <c r="H44" i="6"/>
  <c r="J44" i="6"/>
  <c r="L44" i="6"/>
  <c r="O44" i="6"/>
  <c r="P44" i="6"/>
  <c r="Q44" i="6"/>
  <c r="R44" i="6"/>
  <c r="M44" i="6" l="1"/>
  <c r="C44" i="6" s="1"/>
  <c r="I39" i="6"/>
  <c r="M39" i="6" l="1"/>
  <c r="C39" i="6" s="1"/>
  <c r="I38" i="6" l="1"/>
  <c r="M38" i="6"/>
  <c r="C38" i="6" s="1"/>
  <c r="E39" i="6" l="1"/>
  <c r="D39" i="6" s="1"/>
  <c r="E38" i="6" l="1"/>
  <c r="I37" i="6"/>
  <c r="E37" i="6" s="1"/>
  <c r="D38" i="6" l="1"/>
  <c r="M37" i="6"/>
  <c r="D37" i="6" l="1"/>
  <c r="C37" i="6"/>
  <c r="G34" i="6" l="1"/>
  <c r="G44" i="6" s="1"/>
  <c r="I16" i="6" l="1"/>
  <c r="K36" i="6" l="1"/>
  <c r="I36" i="6" s="1"/>
  <c r="E36" i="6" s="1"/>
  <c r="K35" i="6"/>
  <c r="I34" i="6"/>
  <c r="E34" i="6" s="1"/>
  <c r="I33" i="6"/>
  <c r="E33" i="6" s="1"/>
  <c r="I32" i="6"/>
  <c r="I35" i="6" l="1"/>
  <c r="E35" i="6" s="1"/>
  <c r="K44" i="6"/>
  <c r="E32" i="6"/>
  <c r="M36" i="6"/>
  <c r="D36" i="6" l="1"/>
  <c r="C36" i="6"/>
  <c r="I44" i="6"/>
  <c r="E44" i="6" s="1"/>
  <c r="D44" i="6" s="1"/>
  <c r="M35" i="6"/>
  <c r="D35" i="6" l="1"/>
  <c r="C35" i="6"/>
  <c r="I30" i="6" l="1"/>
  <c r="I29" i="6"/>
  <c r="M34" i="6" l="1"/>
  <c r="D34" i="6" l="1"/>
  <c r="C34" i="6"/>
  <c r="M33" i="6" l="1"/>
  <c r="L31" i="6"/>
  <c r="K31" i="6"/>
  <c r="J31" i="6"/>
  <c r="H31" i="6"/>
  <c r="M32" i="6"/>
  <c r="M21" i="6"/>
  <c r="C21" i="6" s="1"/>
  <c r="I20" i="6"/>
  <c r="I26" i="6"/>
  <c r="I25" i="6"/>
  <c r="D32" i="6" l="1"/>
  <c r="C32" i="6"/>
  <c r="D33" i="6"/>
  <c r="C33" i="6"/>
  <c r="I31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0" i="6" l="1"/>
  <c r="D28" i="6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G31" i="6" s="1"/>
  <c r="R31" i="6" l="1"/>
  <c r="F31" i="6"/>
  <c r="E31" i="6" s="1"/>
  <c r="E30" i="6"/>
  <c r="D30" i="6" s="1"/>
  <c r="G17" i="6" l="1"/>
  <c r="Q31" i="6" l="1"/>
  <c r="P31" i="6"/>
  <c r="O31" i="6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4" i="6"/>
  <c r="N5" i="6"/>
  <c r="O5" i="6"/>
  <c r="P5" i="6"/>
  <c r="Q5" i="6"/>
  <c r="R5" i="6"/>
  <c r="D5" i="6"/>
  <c r="E5" i="6"/>
  <c r="C5" i="6"/>
  <c r="A1" i="6" l="1"/>
  <c r="N31" i="6" l="1"/>
  <c r="M18" i="6"/>
  <c r="C18" i="6" s="1"/>
  <c r="I18" i="6"/>
  <c r="E18" i="6" s="1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M7" i="6"/>
  <c r="C7" i="6" s="1"/>
  <c r="I7" i="6"/>
  <c r="E7" i="6" s="1"/>
  <c r="M6" i="6"/>
  <c r="C6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M31" i="6"/>
  <c r="D18" i="6"/>
  <c r="D27" i="6" l="1"/>
  <c r="C27" i="6"/>
  <c r="D31" i="6"/>
  <c r="C31" i="6"/>
  <c r="C56" i="12"/>
  <c r="C68" i="12" s="1"/>
  <c r="P68" i="12"/>
</calcChain>
</file>

<file path=xl/sharedStrings.xml><?xml version="1.0" encoding="utf-8"?>
<sst xmlns="http://schemas.openxmlformats.org/spreadsheetml/2006/main" count="978" uniqueCount="891">
  <si>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</si>
  <si>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</si>
  <si>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</si>
  <si>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</si>
  <si>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</si>
  <si>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</si>
  <si>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</si>
  <si>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</si>
  <si>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</si>
  <si>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</si>
  <si>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</si>
  <si>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</si>
  <si>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</si>
  <si>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</si>
  <si>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</si>
  <si>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</si>
  <si>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</si>
  <si>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</si>
  <si>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</si>
  <si>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</si>
  <si>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</si>
  <si>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</si>
  <si>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</si>
  <si>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</si>
  <si>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</si>
  <si>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</si>
  <si>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</si>
  <si>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</si>
  <si>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</si>
  <si>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</si>
  <si>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</si>
  <si>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</si>
  <si>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</si>
  <si>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</si>
  <si>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</si>
  <si>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</si>
  <si>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</si>
  <si>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</si>
  <si>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</si>
  <si>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</si>
  <si>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</si>
  <si>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</si>
  <si>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</si>
  <si>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</si>
  <si>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</si>
  <si>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</si>
  <si>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</si>
  <si>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</si>
  <si>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</si>
  <si>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</si>
  <si>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</si>
  <si>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</si>
  <si>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</si>
  <si>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</si>
  <si>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</si>
  <si>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</si>
  <si>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</si>
  <si>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</si>
  <si>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</si>
  <si>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</si>
  <si>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</si>
  <si>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</si>
  <si>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</si>
  <si>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</si>
  <si>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</si>
  <si>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</si>
  <si>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</si>
  <si>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</si>
  <si>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</si>
  <si>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</si>
  <si>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</si>
  <si>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</si>
  <si>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</si>
  <si>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</si>
  <si>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</si>
  <si>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</si>
  <si>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</si>
  <si>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</si>
  <si>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</si>
  <si>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</si>
  <si>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</si>
  <si>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</si>
  <si>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</si>
  <si>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</si>
  <si>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</si>
  <si>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</si>
  <si>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</si>
  <si>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</si>
  <si>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</si>
  <si>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</si>
  <si>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</si>
  <si>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</si>
  <si>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</si>
  <si>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</si>
  <si>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</si>
  <si>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</si>
  <si>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</si>
  <si>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</si>
  <si>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</si>
  <si>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</si>
  <si>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</si>
  <si>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</si>
  <si>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</si>
  <si>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</si>
  <si>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</si>
  <si>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</si>
  <si>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</si>
  <si>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</si>
  <si>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</si>
  <si>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</si>
  <si>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</si>
  <si>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</si>
  <si>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</si>
  <si>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</si>
  <si>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</si>
  <si>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</si>
  <si>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</si>
  <si>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</si>
  <si>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</si>
  <si>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</si>
  <si>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</si>
  <si>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</si>
  <si>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</si>
  <si>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</si>
  <si>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</si>
  <si>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</si>
  <si>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</si>
  <si>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</si>
  <si>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</si>
  <si>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</si>
  <si>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</si>
  <si>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</si>
  <si>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</si>
  <si>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</si>
  <si>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</si>
  <si>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</si>
  <si>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</si>
  <si>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</si>
  <si>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</si>
  <si>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</si>
  <si>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</si>
  <si>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</si>
  <si>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</si>
  <si>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</si>
  <si>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</si>
  <si>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</si>
  <si>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</si>
  <si>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</si>
  <si>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</si>
  <si>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</si>
  <si>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</si>
  <si>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</si>
  <si>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</si>
  <si>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</si>
  <si>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</si>
  <si>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</si>
  <si>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</si>
  <si>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</si>
  <si>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</si>
  <si>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</si>
  <si>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</si>
  <si>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</si>
  <si>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</si>
  <si>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</si>
  <si>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</si>
  <si>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</si>
  <si>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</si>
  <si>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</si>
  <si>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</si>
  <si>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</si>
  <si>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</si>
  <si>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</si>
  <si>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</si>
  <si>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</si>
  <si>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</si>
  <si>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</si>
  <si>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</si>
  <si>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</si>
  <si>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</si>
  <si>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</si>
  <si>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</si>
  <si>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</si>
  <si>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</si>
  <si>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</si>
  <si>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</si>
  <si>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</si>
  <si>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</si>
  <si>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</si>
  <si>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</si>
  <si>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</si>
  <si>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</si>
  <si>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</si>
  <si>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</si>
  <si>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</si>
  <si>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</si>
  <si>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</si>
  <si>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</si>
  <si>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</si>
  <si>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</si>
  <si>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</si>
  <si>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</si>
  <si>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</si>
  <si>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</si>
  <si>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</si>
  <si>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</si>
  <si>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</si>
  <si>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</si>
  <si>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</si>
  <si>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</si>
  <si>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</si>
  <si>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</si>
  <si>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</si>
  <si>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</si>
  <si>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</si>
  <si>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</si>
  <si>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</si>
  <si>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</si>
  <si>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</si>
  <si>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</si>
  <si>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</si>
  <si>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</si>
  <si>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</si>
  <si>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</si>
  <si>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</si>
  <si>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</si>
  <si>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</si>
  <si>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</si>
  <si>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</si>
  <si>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</si>
  <si>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</si>
  <si>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</si>
  <si>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</si>
  <si>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</si>
  <si>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</si>
  <si>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</si>
  <si>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</si>
  <si>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</si>
  <si>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</si>
  <si>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</si>
  <si>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</si>
  <si>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</si>
  <si>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</si>
  <si>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</si>
  <si>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</si>
  <si>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</si>
  <si>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</si>
  <si>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</si>
  <si>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</si>
  <si>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</si>
  <si>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</si>
  <si>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</si>
  <si>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</si>
  <si>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</si>
  <si>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</si>
  <si>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</si>
  <si>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</si>
  <si>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</si>
  <si>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</si>
  <si>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</si>
  <si>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</si>
  <si>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</si>
  <si>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</si>
  <si>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</si>
  <si>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</si>
  <si>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</si>
  <si>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</si>
  <si>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</si>
  <si>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</si>
  <si>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</si>
  <si>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</si>
  <si>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</si>
  <si>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</si>
  <si>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</si>
  <si>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</si>
  <si>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</si>
  <si>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</si>
  <si>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</si>
  <si>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</si>
  <si>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</si>
  <si>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</si>
  <si>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</si>
  <si>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</si>
  <si>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</si>
  <si>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</si>
  <si>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</si>
  <si>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</si>
  <si>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</si>
  <si>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</si>
  <si>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</si>
  <si>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</si>
  <si>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</si>
  <si>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</si>
  <si>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</si>
  <si>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</si>
  <si>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</si>
  <si>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</si>
  <si>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</si>
  <si>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</si>
  <si>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</si>
  <si>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</si>
  <si>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</si>
  <si>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</si>
  <si>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</si>
  <si>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</si>
  <si>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</si>
  <si>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</si>
  <si>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</si>
  <si>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</si>
  <si>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</si>
  <si>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</si>
  <si>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</si>
  <si>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</si>
  <si>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</si>
  <si>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</si>
  <si>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</si>
  <si>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</si>
  <si>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</si>
  <si>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</si>
  <si>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</si>
  <si>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</si>
  <si>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</si>
  <si>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</si>
  <si>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</si>
  <si>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</si>
  <si>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</si>
  <si>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</si>
  <si>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</si>
  <si>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</si>
  <si>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</si>
  <si>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</si>
  <si>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</si>
  <si>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</si>
  <si>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</si>
  <si>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</si>
  <si>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</si>
  <si>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</si>
  <si>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</si>
  <si>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</si>
  <si>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</si>
  <si>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</si>
  <si>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</si>
  <si>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</si>
  <si>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</si>
  <si>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</si>
  <si>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</si>
  <si>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</si>
  <si>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</si>
  <si>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</si>
  <si>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</si>
  <si>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</si>
  <si>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</si>
  <si>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</si>
  <si>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</si>
  <si>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</si>
  <si>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</si>
  <si>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</si>
  <si>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</si>
  <si>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</si>
  <si>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</si>
  <si>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</si>
  <si>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</si>
  <si>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</si>
  <si>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</si>
  <si>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</si>
  <si>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</si>
  <si>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</si>
  <si>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</si>
  <si>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</si>
  <si>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</si>
  <si>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</si>
  <si>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</si>
  <si>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</si>
  <si>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</si>
  <si>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</si>
  <si>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</si>
  <si>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</si>
  <si>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</si>
  <si>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</si>
  <si>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</si>
  <si>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</si>
  <si>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</si>
  <si>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</si>
  <si>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</si>
  <si>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</si>
  <si>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</si>
  <si>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</si>
  <si>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</si>
  <si>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</si>
  <si>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</si>
  <si>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</si>
  <si>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</si>
  <si>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</si>
  <si>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</si>
  <si>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</si>
  <si>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</si>
  <si>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</si>
  <si>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</si>
  <si>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</si>
  <si>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</si>
  <si>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</si>
  <si>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</si>
  <si>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</si>
  <si>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</si>
  <si>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</si>
  <si>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</si>
  <si>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</si>
  <si>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</si>
  <si>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</si>
  <si>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</si>
  <si>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</si>
  <si>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</si>
  <si>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</si>
  <si>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</si>
  <si>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</si>
  <si>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</si>
  <si>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</si>
  <si>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</si>
  <si>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</si>
  <si>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</si>
  <si>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</si>
  <si>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</si>
  <si>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</si>
  <si>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</si>
  <si>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</si>
  <si>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</si>
  <si>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</si>
  <si>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</si>
  <si>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</si>
  <si>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</si>
  <si>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</si>
  <si>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</si>
  <si>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</si>
  <si>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</si>
  <si>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</si>
  <si>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</si>
  <si>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</si>
  <si>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</si>
  <si>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</si>
  <si>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</si>
  <si>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</si>
  <si>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</si>
  <si>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</si>
  <si>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</si>
  <si>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</si>
  <si>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</si>
  <si>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</si>
  <si>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</si>
  <si>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</si>
  <si>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</si>
  <si>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</si>
  <si>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</si>
  <si>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</si>
  <si>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</si>
  <si>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</si>
  <si>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</si>
  <si>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</si>
  <si>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</si>
  <si>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</si>
  <si>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</si>
  <si>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</si>
  <si>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</si>
  <si>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</si>
  <si>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</si>
  <si>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</si>
  <si>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</si>
  <si>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</si>
  <si>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</si>
  <si>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</si>
  <si>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</si>
  <si>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</si>
  <si>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</si>
  <si>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</si>
  <si>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</si>
  <si>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</si>
  <si>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</si>
  <si>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</si>
  <si>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</si>
  <si>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</si>
  <si>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</si>
  <si>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</si>
  <si>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</si>
  <si>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</si>
  <si>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</si>
  <si>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</si>
  <si>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</si>
  <si>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</si>
  <si>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</si>
  <si>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</si>
  <si>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</si>
  <si>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</si>
  <si>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</si>
  <si>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</si>
  <si>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</si>
  <si>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</si>
  <si>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</si>
  <si>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</si>
  <si>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</si>
  <si>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</si>
  <si>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</si>
  <si>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</si>
  <si>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</si>
  <si>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</si>
  <si>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</si>
  <si>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</si>
  <si>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</si>
  <si>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</si>
  <si>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</si>
  <si>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</si>
  <si>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</si>
  <si>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</si>
  <si>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</si>
  <si>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</si>
  <si>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</si>
  <si>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</si>
  <si>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</si>
  <si>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</si>
  <si>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</si>
  <si>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</si>
  <si>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</si>
  <si>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</si>
  <si>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</si>
  <si>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</si>
  <si>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</si>
  <si>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</si>
  <si>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</si>
  <si>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</si>
  <si>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</si>
  <si>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</si>
  <si>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</si>
  <si>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</si>
  <si>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</si>
  <si>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</si>
  <si>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</si>
  <si>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</si>
  <si>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</si>
  <si>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</si>
  <si>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</si>
  <si>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</si>
  <si>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</si>
  <si>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</si>
  <si>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</si>
  <si>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</si>
  <si>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</si>
  <si>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</si>
  <si>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</si>
  <si>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</si>
  <si>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</si>
  <si>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</si>
  <si>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</si>
  <si>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</si>
  <si>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</si>
  <si>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</si>
  <si>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</si>
  <si>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</si>
  <si>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</si>
  <si>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</si>
  <si>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</si>
  <si>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</si>
  <si>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</si>
  <si>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</si>
  <si>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</si>
  <si>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</si>
  <si>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</si>
  <si>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</si>
  <si>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</si>
  <si>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</si>
  <si>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</si>
  <si>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</si>
  <si>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</si>
  <si>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</si>
  <si>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</si>
  <si>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</si>
  <si>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</si>
  <si>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</si>
  <si>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</si>
  <si>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</si>
  <si>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</si>
  <si>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</si>
  <si>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</si>
  <si>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</si>
  <si>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</si>
  <si>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</si>
  <si>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</si>
  <si>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</si>
  <si>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</si>
  <si>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</si>
  <si>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</si>
  <si>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</si>
  <si>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</si>
  <si>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</si>
  <si>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</si>
  <si>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</si>
  <si>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</si>
  <si>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</si>
  <si>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</si>
  <si>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</si>
  <si>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</si>
  <si>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</si>
  <si>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</si>
  <si>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</si>
  <si>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</si>
  <si>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</si>
  <si>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</si>
  <si>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</si>
  <si>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</si>
  <si>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</si>
  <si>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</si>
  <si>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</si>
  <si>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</si>
  <si>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</si>
  <si>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</si>
  <si>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</si>
  <si>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</si>
  <si>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</si>
  <si>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</si>
  <si>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</si>
  <si>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</si>
  <si>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</si>
  <si>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</si>
  <si>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</si>
  <si>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</si>
  <si>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</si>
  <si>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</si>
  <si>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</si>
  <si>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</si>
  <si>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</si>
  <si>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</si>
  <si>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</si>
  <si>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</si>
  <si>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</si>
  <si>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</si>
  <si>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</si>
  <si>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</si>
  <si>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</si>
  <si>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</si>
  <si>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</si>
  <si>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</si>
  <si>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</si>
  <si>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</si>
  <si>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</si>
  <si>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</si>
  <si>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</si>
  <si>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</si>
  <si>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</si>
  <si>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</si>
  <si>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</si>
  <si>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</si>
  <si>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</si>
  <si>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</si>
  <si>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</si>
  <si>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</si>
  <si>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</si>
  <si>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</si>
  <si>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</si>
  <si>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</si>
  <si>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</si>
  <si>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</si>
  <si>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</si>
  <si>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</si>
  <si>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</si>
  <si>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</si>
  <si>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</si>
  <si>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</si>
  <si>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</si>
  <si>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</si>
  <si>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</si>
  <si>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</si>
  <si>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</si>
  <si>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</si>
  <si>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</si>
  <si>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</si>
  <si>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</si>
  <si>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</si>
  <si>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</si>
  <si>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</si>
  <si>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</si>
  <si>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</si>
  <si>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</si>
  <si>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</si>
  <si>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</si>
  <si>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</si>
  <si>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</si>
  <si>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</si>
  <si>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</si>
  <si>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</si>
  <si>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</si>
  <si>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</si>
  <si>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</si>
  <si>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</si>
  <si>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</si>
  <si>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</si>
  <si>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</si>
  <si>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</si>
  <si>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</si>
  <si>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</si>
  <si>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</si>
  <si>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</si>
  <si>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</si>
  <si>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</si>
  <si>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</si>
  <si>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</si>
  <si>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</si>
  <si>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</si>
  <si>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</si>
  <si>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</si>
  <si>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</si>
  <si>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</si>
  <si>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</si>
  <si>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</si>
  <si>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</si>
  <si>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</si>
  <si>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</si>
  <si>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</si>
  <si>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</si>
  <si>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</si>
  <si>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</si>
  <si>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</si>
  <si>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</si>
  <si>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</si>
  <si>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</si>
  <si>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</si>
  <si>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</si>
  <si>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</si>
  <si>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</si>
  <si>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</si>
  <si>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</si>
  <si>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</si>
  <si>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</si>
  <si>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</si>
  <si>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</si>
  <si>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</si>
  <si>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</si>
  <si>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</si>
  <si>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</si>
  <si>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</si>
  <si>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</si>
  <si>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</si>
  <si>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</si>
  <si>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</si>
  <si>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</si>
  <si>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</si>
  <si>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</si>
  <si>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</si>
  <si>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</si>
  <si>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</si>
  <si>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</si>
  <si>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</si>
  <si>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</si>
  <si>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</si>
  <si>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</si>
  <si>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</si>
  <si>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</si>
  <si>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</si>
  <si>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</si>
  <si>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</si>
  <si>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</si>
  <si>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</si>
  <si>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</si>
  <si>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</si>
  <si>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</si>
  <si>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</si>
  <si>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</si>
  <si>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</si>
  <si>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</si>
  <si>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</si>
  <si>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</si>
  <si>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</si>
  <si>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</si>
  <si>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</si>
  <si>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</si>
  <si>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</si>
  <si>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</si>
  <si>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</si>
  <si>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</si>
  <si>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</si>
  <si>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</si>
  <si>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</si>
  <si>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</si>
  <si>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</si>
  <si>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</si>
  <si>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</si>
  <si>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</si>
  <si>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</si>
  <si>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</si>
  <si>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</si>
  <si>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</si>
  <si>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</si>
  <si>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</si>
  <si>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</si>
  <si>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</si>
  <si>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</si>
  <si>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</si>
  <si>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</si>
  <si>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</si>
  <si>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</si>
  <si>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</si>
  <si>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</si>
  <si>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</si>
  <si>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</si>
  <si>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</si>
  <si>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</si>
  <si>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</si>
  <si>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</si>
  <si>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</si>
  <si>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</si>
  <si>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</si>
  <si>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</si>
  <si>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</si>
  <si>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</si>
  <si>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</si>
  <si>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</si>
  <si>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</si>
  <si>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</si>
  <si>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</si>
  <si>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</si>
  <si>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</si>
  <si>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</si>
  <si>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</si>
  <si>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</si>
  <si>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</si>
  <si>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</si>
  <si>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</si>
  <si>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</si>
  <si>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</si>
  <si>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</si>
  <si>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</si>
  <si>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</si>
  <si>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</si>
  <si>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</si>
  <si>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</si>
  <si>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</si>
  <si>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</si>
  <si>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</si>
  <si>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</si>
  <si>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</si>
  <si>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</si>
  <si>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</si>
  <si>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</si>
  <si>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</si>
  <si>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</si>
  <si>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</si>
  <si>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</si>
  <si>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</si>
  <si>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</si>
  <si>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</si>
  <si>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</si>
  <si>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</si>
  <si>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</si>
  <si>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</si>
  <si>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</si>
  <si>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</si>
  <si>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</si>
  <si>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</si>
  <si>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</si>
  <si>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</si>
  <si>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</si>
  <si>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</si>
  <si>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</si>
  <si>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</si>
  <si>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</si>
  <si>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</si>
  <si>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</si>
  <si>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</si>
  <si>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</si>
  <si>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</si>
  <si>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</si>
  <si>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</si>
  <si>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</si>
  <si>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</si>
  <si>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</si>
  <si>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</si>
  <si>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</si>
  <si>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</si>
  <si>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</si>
  <si>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</si>
  <si>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</si>
  <si>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</si>
  <si>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</si>
  <si>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2024 Shkurt</t>
  </si>
  <si>
    <t>2024 Janar</t>
  </si>
  <si>
    <t xml:space="preserve">2024 Mars </t>
  </si>
  <si>
    <t>2024 Prill</t>
  </si>
  <si>
    <t>2024 Maj</t>
  </si>
  <si>
    <t>2024 Qershor</t>
  </si>
  <si>
    <t>2024 Korrik</t>
  </si>
  <si>
    <t>2024 Gusht</t>
  </si>
  <si>
    <t>2024 Shtator</t>
  </si>
  <si>
    <t>2024 Tetor</t>
  </si>
  <si>
    <t xml:space="preserve">2024 Nëntor </t>
  </si>
  <si>
    <t>2024 Dhjetor</t>
  </si>
  <si>
    <t>Gjithsej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</si>
</sst>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"/>
      <name val="Arial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0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3" applyBorder="0"/>
  </cellStyleXfs>
  <cellXfs count="16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165" fontId="0" fillId="0" borderId="10" xfId="1" applyNumberFormat="1" applyFont="1" applyBorder="1" applyAlignment="1">
      <alignment horizontal="center"/>
    </xf>
    <xf numFmtId="165" fontId="0" fillId="0" borderId="10" xfId="1" applyNumberFormat="1" applyFont="1" applyBorder="1"/>
    <xf numFmtId="165" fontId="17" fillId="34" borderId="10" xfId="1" applyNumberFormat="1" applyFont="1" applyFill="1" applyBorder="1" applyAlignment="1">
      <alignment horizontal="center"/>
    </xf>
    <xf numFmtId="165" fontId="0" fillId="0" borderId="11" xfId="1" applyNumberFormat="1" applyFont="1" applyBorder="1" applyAlignment="1">
      <alignment horizontal="center"/>
    </xf>
    <xf numFmtId="165" fontId="0" fillId="0" borderId="11" xfId="1" applyNumberFormat="1" applyFont="1" applyBorder="1"/>
    <xf numFmtId="0" fontId="0" fillId="0" borderId="10" xfId="0" applyFont="1" applyBorder="1"/>
    <xf numFmtId="0" fontId="17" fillId="34" borderId="10" xfId="0" applyFont="1" applyFill="1" applyBorder="1"/>
    <xf numFmtId="165" fontId="17" fillId="34" borderId="10" xfId="1" applyNumberFormat="1" applyFont="1" applyFill="1" applyBorder="1"/>
    <xf numFmtId="165" fontId="0" fillId="0" borderId="10" xfId="1" applyNumberFormat="1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5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5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5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5" fontId="17" fillId="35" borderId="13" xfId="1" applyNumberFormat="1" applyFont="1" applyFill="1" applyBorder="1" applyAlignment="1">
      <alignment horizontal="left" vertical="top" wrapText="1"/>
    </xf>
    <xf numFmtId="165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5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8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165" fontId="0" fillId="0" borderId="10" xfId="1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5" fontId="17" fillId="2" borderId="13" xfId="1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8" xfId="0" applyFont="1" applyFill="1" applyBorder="1" applyProtection="1">
      <protection hidden="1"/>
    </xf>
    <xf numFmtId="0" fontId="15" fillId="2" borderId="0" xfId="0" applyFont="1" applyFill="1" applyBorder="1" applyProtection="1">
      <protection hidden="1"/>
    </xf>
    <xf numFmtId="0" fontId="30" fillId="2" borderId="0" xfId="0" applyFont="1" applyFill="1" applyBorder="1" applyAlignment="1" applyProtection="1">
      <alignment horizontal="left" vertical="center"/>
      <protection hidden="1"/>
    </xf>
    <xf numFmtId="165" fontId="31" fillId="2" borderId="15" xfId="1" applyNumberFormat="1" applyFont="1" applyFill="1" applyBorder="1" applyAlignment="1" applyProtection="1">
      <alignment horizontal="center" wrapText="1"/>
      <protection hidden="1"/>
    </xf>
    <xf numFmtId="0" fontId="31" fillId="2" borderId="15" xfId="0" applyFont="1" applyFill="1" applyBorder="1" applyAlignment="1" applyProtection="1">
      <alignment horizontal="center"/>
      <protection hidden="1"/>
    </xf>
    <xf numFmtId="0" fontId="31" fillId="2" borderId="20" xfId="0" applyFont="1" applyFill="1" applyBorder="1" applyAlignment="1" applyProtection="1">
      <alignment horizontal="center" wrapText="1"/>
      <protection hidden="1"/>
    </xf>
    <xf numFmtId="0" fontId="31" fillId="2" borderId="21" xfId="0" applyFont="1" applyFill="1" applyBorder="1" applyAlignment="1" applyProtection="1">
      <alignment horizontal="center"/>
      <protection hidden="1"/>
    </xf>
    <xf numFmtId="0" fontId="31" fillId="2" borderId="22" xfId="0" applyFont="1" applyFill="1" applyBorder="1" applyAlignment="1" applyProtection="1">
      <alignment horizontal="center"/>
      <protection hidden="1"/>
    </xf>
    <xf numFmtId="0" fontId="31" fillId="2" borderId="21" xfId="0" applyFont="1" applyFill="1" applyBorder="1" applyAlignment="1" applyProtection="1">
      <protection hidden="1"/>
    </xf>
    <xf numFmtId="0" fontId="31" fillId="2" borderId="22" xfId="0" applyFont="1" applyFill="1" applyBorder="1" applyAlignment="1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165" fontId="23" fillId="38" borderId="10" xfId="1" applyNumberFormat="1" applyFont="1" applyFill="1" applyBorder="1" applyProtection="1">
      <protection hidden="1"/>
    </xf>
    <xf numFmtId="0" fontId="21" fillId="2" borderId="10" xfId="0" applyFont="1" applyFill="1" applyBorder="1" applyProtection="1">
      <protection hidden="1"/>
    </xf>
    <xf numFmtId="165" fontId="21" fillId="2" borderId="10" xfId="1" applyNumberFormat="1" applyFont="1" applyFill="1" applyBorder="1" applyProtection="1">
      <protection hidden="1"/>
    </xf>
    <xf numFmtId="165" fontId="21" fillId="2" borderId="10" xfId="1" applyNumberFormat="1" applyFont="1" applyFill="1" applyBorder="1" applyAlignment="1" applyProtection="1">
      <alignment horizontal="center"/>
      <protection hidden="1"/>
    </xf>
    <xf numFmtId="0" fontId="21" fillId="2" borderId="0" xfId="0" applyFont="1" applyFill="1" applyProtection="1">
      <protection hidden="1"/>
    </xf>
    <xf numFmtId="0" fontId="21" fillId="0" borderId="0" xfId="0" applyFont="1" applyProtection="1">
      <protection hidden="1"/>
    </xf>
    <xf numFmtId="0" fontId="23" fillId="38" borderId="10" xfId="0" applyFont="1" applyFill="1" applyBorder="1" applyProtection="1">
      <protection hidden="1"/>
    </xf>
    <xf numFmtId="165" fontId="23" fillId="38" borderId="10" xfId="1" applyNumberFormat="1" applyFont="1" applyFill="1" applyBorder="1" applyAlignment="1" applyProtection="1">
      <alignment horizontal="center"/>
      <protection hidden="1"/>
    </xf>
    <xf numFmtId="165" fontId="21" fillId="2" borderId="11" xfId="1" applyNumberFormat="1" applyFont="1" applyFill="1" applyBorder="1" applyProtection="1">
      <protection hidden="1"/>
    </xf>
    <xf numFmtId="165" fontId="21" fillId="2" borderId="0" xfId="1" applyNumberFormat="1" applyFont="1" applyFill="1" applyProtection="1">
      <protection hidden="1"/>
    </xf>
    <xf numFmtId="165" fontId="23" fillId="2" borderId="15" xfId="1" applyNumberFormat="1" applyFont="1" applyFill="1" applyBorder="1" applyAlignment="1" applyProtection="1">
      <alignment horizontal="center" wrapText="1"/>
      <protection hidden="1"/>
    </xf>
    <xf numFmtId="0" fontId="23" fillId="2" borderId="15" xfId="0" applyFont="1" applyFill="1" applyBorder="1" applyAlignment="1" applyProtection="1">
      <alignment horizontal="center"/>
      <protection hidden="1"/>
    </xf>
    <xf numFmtId="0" fontId="23" fillId="2" borderId="17" xfId="0" applyFont="1" applyFill="1" applyBorder="1" applyAlignment="1" applyProtection="1">
      <alignment horizontal="center" wrapText="1"/>
      <protection hidden="1"/>
    </xf>
    <xf numFmtId="0" fontId="23" fillId="2" borderId="14" xfId="0" applyFont="1" applyFill="1" applyBorder="1" applyAlignment="1" applyProtection="1">
      <alignment horizontal="center" wrapText="1"/>
      <protection hidden="1"/>
    </xf>
    <xf numFmtId="0" fontId="23" fillId="2" borderId="20" xfId="0" applyFont="1" applyFill="1" applyBorder="1" applyAlignment="1" applyProtection="1">
      <alignment horizontal="center" wrapText="1"/>
      <protection hidden="1"/>
    </xf>
    <xf numFmtId="0" fontId="23" fillId="2" borderId="21" xfId="0" applyFont="1" applyFill="1" applyBorder="1" applyAlignment="1" applyProtection="1">
      <alignment horizontal="center"/>
      <protection hidden="1"/>
    </xf>
    <xf numFmtId="0" fontId="23" fillId="2" borderId="22" xfId="0" applyFont="1" applyFill="1" applyBorder="1" applyAlignment="1" applyProtection="1">
      <alignment horizontal="center"/>
      <protection hidden="1"/>
    </xf>
    <xf numFmtId="0" fontId="23" fillId="2" borderId="14" xfId="0" applyFont="1" applyFill="1" applyBorder="1" applyAlignment="1" applyProtection="1">
      <alignment horizontal="center"/>
      <protection hidden="1"/>
    </xf>
    <xf numFmtId="0" fontId="23" fillId="2" borderId="24" xfId="0" applyFont="1" applyFill="1" applyBorder="1" applyAlignment="1" applyProtection="1">
      <alignment horizontal="center" wrapText="1"/>
      <protection hidden="1"/>
    </xf>
    <xf numFmtId="165" fontId="23" fillId="38" borderId="30" xfId="1" applyNumberFormat="1" applyFont="1" applyFill="1" applyBorder="1" applyAlignment="1" applyProtection="1">
      <alignment horizontal="center"/>
      <protection hidden="1"/>
    </xf>
    <xf numFmtId="0" fontId="23" fillId="38" borderId="30" xfId="0" applyFont="1" applyFill="1" applyBorder="1" applyProtection="1">
      <protection hidden="1"/>
    </xf>
    <xf numFmtId="165" fontId="23" fillId="38" borderId="30" xfId="1" applyNumberFormat="1" applyFont="1" applyFill="1" applyBorder="1" applyProtection="1">
      <protection hidden="1"/>
    </xf>
    <xf numFmtId="0" fontId="23" fillId="34" borderId="30" xfId="0" applyFont="1" applyFill="1" applyBorder="1" applyProtection="1">
      <protection hidden="1"/>
    </xf>
    <xf numFmtId="165" fontId="21" fillId="2" borderId="12" xfId="1" applyNumberFormat="1" applyFont="1" applyFill="1" applyBorder="1" applyAlignment="1" applyProtection="1">
      <alignment horizontal="center"/>
      <protection hidden="1"/>
    </xf>
    <xf numFmtId="165" fontId="21" fillId="2" borderId="32" xfId="1" applyNumberFormat="1" applyFont="1" applyFill="1" applyBorder="1" applyAlignment="1" applyProtection="1">
      <alignment horizontal="center"/>
      <protection hidden="1"/>
    </xf>
    <xf numFmtId="165" fontId="21" fillId="2" borderId="12" xfId="1" applyNumberFormat="1" applyFont="1" applyFill="1" applyBorder="1" applyProtection="1"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165" fontId="21" fillId="38" borderId="11" xfId="1" applyNumberFormat="1" applyFont="1" applyFill="1" applyBorder="1" applyProtection="1">
      <protection hidden="1"/>
    </xf>
    <xf numFmtId="165" fontId="21" fillId="38" borderId="10" xfId="1" applyNumberFormat="1" applyFont="1" applyFill="1" applyBorder="1" applyProtection="1">
      <protection hidden="1"/>
    </xf>
    <xf numFmtId="0" fontId="0" fillId="2" borderId="0" xfId="0" applyFont="1" applyFill="1" applyProtection="1">
      <protection hidden="1"/>
    </xf>
    <xf numFmtId="0" fontId="23" fillId="2" borderId="13" xfId="0" applyFont="1" applyFill="1" applyBorder="1" applyAlignment="1" applyProtection="1">
      <alignment horizontal="center" wrapText="1"/>
      <protection hidden="1"/>
    </xf>
    <xf numFmtId="165" fontId="0" fillId="0" borderId="0" xfId="1" applyNumberFormat="1" applyFont="1" applyProtection="1">
      <protection hidden="1"/>
    </xf>
    <xf numFmtId="165" fontId="32" fillId="39" borderId="36" xfId="1" applyNumberFormat="1" applyFont="1" applyFill="1" applyBorder="1" applyAlignment="1" applyProtection="1">
      <alignment horizontal="center" vertical="center" wrapText="1"/>
    </xf>
    <xf numFmtId="165" fontId="0" fillId="2" borderId="0" xfId="1" applyNumberFormat="1" applyFont="1" applyFill="1" applyProtection="1">
      <protection hidden="1"/>
    </xf>
    <xf numFmtId="165" fontId="32" fillId="2" borderId="36" xfId="1" applyNumberFormat="1" applyFont="1" applyFill="1" applyBorder="1" applyAlignment="1" applyProtection="1">
      <alignment horizontal="center" vertical="center" wrapText="1"/>
    </xf>
    <xf numFmtId="2" fontId="0" fillId="2" borderId="0" xfId="0" applyNumberFormat="1" applyFont="1" applyFill="1"/>
    <xf numFmtId="165" fontId="0" fillId="2" borderId="0" xfId="0" applyNumberFormat="1" applyFont="1" applyFill="1"/>
    <xf numFmtId="4" fontId="32" fillId="39" borderId="36" xfId="0" applyNumberFormat="1" applyFont="1" applyFill="1" applyBorder="1" applyAlignment="1" applyProtection="1">
      <alignment horizontal="right" vertical="center" wrapText="1"/>
    </xf>
    <xf numFmtId="164" fontId="0" fillId="2" borderId="0" xfId="1" applyFont="1" applyFill="1"/>
    <xf numFmtId="4" fontId="32" fillId="2" borderId="36" xfId="0" applyNumberFormat="1" applyFont="1" applyFill="1" applyBorder="1" applyAlignment="1" applyProtection="1">
      <alignment horizontal="right" vertical="center" wrapText="1"/>
    </xf>
    <xf numFmtId="165" fontId="21" fillId="38" borderId="23" xfId="1" applyNumberFormat="1" applyFont="1" applyFill="1" applyBorder="1" applyProtection="1">
      <protection hidden="1"/>
    </xf>
    <xf numFmtId="165" fontId="21" fillId="38" borderId="37" xfId="1" applyNumberFormat="1" applyFont="1" applyFill="1" applyBorder="1" applyProtection="1">
      <protection hidden="1"/>
    </xf>
    <xf numFmtId="165" fontId="21" fillId="2" borderId="13" xfId="1" applyNumberFormat="1" applyFont="1" applyFill="1" applyBorder="1" applyProtection="1">
      <protection hidden="1"/>
    </xf>
    <xf numFmtId="165" fontId="0" fillId="2" borderId="13" xfId="1" applyNumberFormat="1" applyFont="1" applyFill="1" applyBorder="1" applyProtection="1">
      <protection hidden="1"/>
    </xf>
    <xf numFmtId="164" fontId="0" fillId="2" borderId="0" xfId="0" applyNumberFormat="1" applyFont="1" applyFill="1"/>
    <xf numFmtId="165" fontId="0" fillId="2" borderId="10" xfId="1" applyNumberFormat="1" applyFont="1" applyFill="1" applyBorder="1"/>
    <xf numFmtId="165" fontId="0" fillId="2" borderId="10" xfId="1" applyNumberFormat="1" applyFont="1" applyFill="1" applyBorder="1" applyAlignment="1">
      <alignment horizontal="center"/>
    </xf>
    <xf numFmtId="165" fontId="0" fillId="0" borderId="0" xfId="1" applyNumberFormat="1" applyFont="1" applyBorder="1"/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 wrapText="1"/>
      <protection hidden="1"/>
    </xf>
    <xf numFmtId="0" fontId="29" fillId="0" borderId="18" xfId="0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3" fillId="38" borderId="13" xfId="0" applyFont="1" applyFill="1" applyBorder="1" applyAlignment="1" applyProtection="1">
      <alignment horizontal="center" wrapText="1"/>
      <protection hidden="1"/>
    </xf>
    <xf numFmtId="0" fontId="23" fillId="2" borderId="13" xfId="0" applyFont="1" applyFill="1" applyBorder="1" applyAlignment="1" applyProtection="1">
      <alignment horizontal="center" wrapText="1"/>
      <protection hidden="1"/>
    </xf>
    <xf numFmtId="0" fontId="21" fillId="0" borderId="12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0" xfId="0" applyFont="1" applyBorder="1" applyAlignment="1" applyProtection="1">
      <alignment horizontal="center" vertical="center" wrapText="1"/>
      <protection hidden="1"/>
    </xf>
    <xf numFmtId="0" fontId="0" fillId="0" borderId="35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12</xdr:col>
          <xdr:colOff>1019175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135"/>
  <sheetViews>
    <sheetView tabSelected="1" zoomScale="85" zoomScaleNormal="85" zoomScaleSheetLayoutView="80" workbookViewId="0">
      <pane xSplit="2" ySplit="5" topLeftCell="C115" activePane="bottomRight" state="frozen"/>
      <selection pane="topRight" activeCell="B1" sqref="B1"/>
      <selection pane="bottomLeft" activeCell="A6" sqref="A6"/>
      <selection pane="bottomRight" activeCell="C130" sqref="C130:AD133"/>
    </sheetView>
  </sheetViews>
  <sheetFormatPr defaultColWidth="9.140625" defaultRowHeight="15" x14ac:dyDescent="0.25"/>
  <cols>
    <col min="1" max="1" width="7.28515625" style="77" customWidth="1"/>
    <col min="2" max="2" width="15.7109375" style="77" customWidth="1"/>
    <col min="3" max="3" width="21.5703125" style="90" bestFit="1" customWidth="1"/>
    <col min="4" max="4" width="19.7109375" style="90" hidden="1" customWidth="1"/>
    <col min="5" max="5" width="17.28515625" style="90" hidden="1" customWidth="1"/>
    <col min="6" max="6" width="15" style="101" hidden="1" customWidth="1"/>
    <col min="7" max="7" width="12.85546875" style="101" hidden="1" customWidth="1"/>
    <col min="8" max="8" width="10.7109375" style="101" hidden="1" customWidth="1"/>
    <col min="9" max="9" width="19.5703125" style="101" hidden="1" customWidth="1"/>
    <col min="10" max="10" width="21.28515625" style="101" hidden="1" customWidth="1"/>
    <col min="11" max="11" width="12.42578125" style="101" hidden="1" customWidth="1"/>
    <col min="12" max="12" width="19.140625" style="101" hidden="1" customWidth="1"/>
    <col min="13" max="13" width="16.7109375" style="101" bestFit="1" customWidth="1"/>
    <col min="14" max="14" width="12.5703125" style="90" bestFit="1" customWidth="1"/>
    <col min="15" max="15" width="14.28515625" style="90" bestFit="1" customWidth="1"/>
    <col min="16" max="16" width="11.28515625" style="90" bestFit="1" customWidth="1"/>
    <col min="17" max="17" width="13.5703125" style="90" customWidth="1"/>
    <col min="18" max="18" width="14.85546875" style="90" bestFit="1" customWidth="1"/>
    <col min="19" max="19" width="11.28515625" style="90" bestFit="1" customWidth="1"/>
    <col min="20" max="20" width="11.28515625" style="88" bestFit="1" customWidth="1"/>
    <col min="21" max="21" width="10.7109375" style="88" bestFit="1" customWidth="1"/>
    <col min="22" max="22" width="11.42578125" style="90" bestFit="1" customWidth="1"/>
    <col min="23" max="23" width="9.7109375" style="90" customWidth="1"/>
    <col min="24" max="24" width="10.42578125" style="90" customWidth="1"/>
    <col min="25" max="25" width="11.28515625" style="90" customWidth="1"/>
    <col min="26" max="26" width="11.28515625" style="90" bestFit="1" customWidth="1"/>
    <col min="27" max="27" width="10.7109375" style="90" bestFit="1" customWidth="1"/>
    <col min="28" max="29" width="9.140625" style="90"/>
    <col min="30" max="30" width="10.85546875" style="90" bestFit="1" customWidth="1"/>
    <col min="31" max="16384" width="9.140625" style="77"/>
  </cols>
  <sheetData>
    <row r="1" spans="1:30" ht="26.25" customHeight="1" x14ac:dyDescent="0.25">
      <c r="A1" s="75" t="str">
        <f>IF(L!$A$1=1,L!G2,IF(L!$A$1=2,L!G11,L!G21))</f>
        <v>Tabela 1: Pagesat</v>
      </c>
      <c r="B1" s="76"/>
      <c r="C1" s="88"/>
      <c r="D1" s="154" t="s">
        <v>609</v>
      </c>
      <c r="E1" s="88"/>
      <c r="F1" s="89"/>
      <c r="G1" s="89"/>
      <c r="H1" s="89"/>
      <c r="I1" s="89"/>
      <c r="J1" s="89"/>
      <c r="K1" s="89"/>
      <c r="L1" s="89"/>
      <c r="M1" s="89"/>
      <c r="N1" s="88"/>
      <c r="O1" s="88"/>
      <c r="P1" s="88"/>
      <c r="Q1" s="88"/>
      <c r="R1" s="88"/>
    </row>
    <row r="2" spans="1:30" ht="18.75" customHeight="1" x14ac:dyDescent="0.25">
      <c r="A2" s="87" t="s">
        <v>876</v>
      </c>
      <c r="B2" s="78"/>
      <c r="C2" s="91"/>
      <c r="D2" s="155"/>
      <c r="E2" s="92"/>
      <c r="F2" s="89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1:30" s="79" customFormat="1" ht="12.75" customHeight="1" x14ac:dyDescent="0.25">
      <c r="A3" s="156"/>
      <c r="B3" s="156"/>
      <c r="C3" s="94"/>
      <c r="D3" s="95"/>
      <c r="E3" s="96"/>
      <c r="F3" s="97"/>
      <c r="G3" s="97"/>
      <c r="H3" s="97"/>
      <c r="I3" s="97"/>
      <c r="J3" s="97"/>
      <c r="K3" s="97"/>
      <c r="L3" s="98"/>
      <c r="M3" s="96"/>
      <c r="N3" s="99"/>
      <c r="O3" s="99"/>
      <c r="P3" s="99"/>
      <c r="Q3" s="99"/>
      <c r="R3" s="100"/>
      <c r="S3" s="96"/>
      <c r="T3" s="99"/>
      <c r="U3" s="99"/>
      <c r="V3" s="99"/>
      <c r="W3" s="99"/>
      <c r="X3" s="100"/>
      <c r="Y3" s="96"/>
      <c r="Z3" s="99"/>
      <c r="AA3" s="99"/>
      <c r="AB3" s="99"/>
      <c r="AC3" s="99"/>
      <c r="AD3" s="100"/>
    </row>
    <row r="4" spans="1:30" s="128" customFormat="1" ht="12.75" customHeight="1" x14ac:dyDescent="0.25">
      <c r="A4" s="156"/>
      <c r="B4" s="156"/>
      <c r="C4" s="112"/>
      <c r="D4" s="113"/>
      <c r="E4" s="114"/>
      <c r="F4" s="115"/>
      <c r="G4" s="115"/>
      <c r="H4" s="115"/>
      <c r="I4" s="116"/>
      <c r="J4" s="117"/>
      <c r="K4" s="118"/>
      <c r="L4" s="115"/>
      <c r="M4" s="159" t="str">
        <f>IF(L!$A$1=1,L!S4,IF(L!$A$1=2,L!S13,L!S23))</f>
        <v>Qeveria Lokale</v>
      </c>
      <c r="N4" s="119"/>
      <c r="O4" s="115"/>
      <c r="P4" s="115"/>
      <c r="Q4" s="115"/>
      <c r="R4" s="115"/>
      <c r="S4" s="158" t="s">
        <v>868</v>
      </c>
      <c r="T4" s="119"/>
      <c r="U4" s="115"/>
      <c r="V4" s="115"/>
      <c r="W4" s="115"/>
      <c r="X4" s="115"/>
      <c r="Y4" s="158" t="s">
        <v>869</v>
      </c>
      <c r="Z4" s="119"/>
      <c r="AA4" s="115"/>
      <c r="AB4" s="115"/>
      <c r="AC4" s="115"/>
      <c r="AD4" s="115"/>
    </row>
    <row r="5" spans="1:30" s="129" customFormat="1" ht="57" customHeight="1" x14ac:dyDescent="0.25">
      <c r="A5" s="157"/>
      <c r="B5" s="157"/>
      <c r="C5" s="120" t="str">
        <f>IF(L!$A$1=1,L!I4,IF(L!$A$1=2,L!I13,L!I23))</f>
        <v>Gjithsejt Pagesat</v>
      </c>
      <c r="D5" s="120" t="str">
        <f>IF(L!$A$1=1,L!J4,IF(L!$A$1=2,L!J13,L!J23))</f>
        <v>Shpenzimet</v>
      </c>
      <c r="E5" s="120" t="str">
        <f>IF(L!$A$1=1,L!K4,IF(L!$A$1=2,L!K13,L!K23))</f>
        <v>Qeveria Qendrore</v>
      </c>
      <c r="F5" s="120" t="str">
        <f>IF(L!$A$1=1,L!L4,IF(L!$A$1=2,L!L13,L!L23))</f>
        <v>Paga</v>
      </c>
      <c r="G5" s="120" t="str">
        <f>IF(L!$A$1=1,L!M4,IF(L!$A$1=2,L!M13,L!M23))</f>
        <v>Mallëra dhe shërbime</v>
      </c>
      <c r="H5" s="120" t="str">
        <f>IF(L!$A$1=1,L!N4,IF(L!$A$1=2,L!N13,L!N23))</f>
        <v>Shpenzime komunale</v>
      </c>
      <c r="I5" s="120" t="str">
        <f>IF(L!$A$1=1,L!O4,IF(L!$A$1=2,L!O13,L!O23))</f>
        <v>Subvencione dhe Transfere</v>
      </c>
      <c r="J5" s="120" t="str">
        <f>IF(L!$A$1=1,L!P4,IF(L!$A$1=2,L!P13,L!P23))</f>
        <v>Transfere Sociale</v>
      </c>
      <c r="K5" s="120" t="str">
        <f>IF(L!$A$1=1,L!Q4,IF(L!$A$1=2,L!Q13,L!Q23))</f>
        <v>Subvencione</v>
      </c>
      <c r="L5" s="120" t="str">
        <f>IF(L!$A$1=1,L!R4,IF(L!$A$1=2,L!R13,L!R23))</f>
        <v>Shpenzime Kapitale</v>
      </c>
      <c r="M5" s="159"/>
      <c r="N5" s="120" t="str">
        <f>IF(L!$A$1=1,L!T4,IF(L!$A$1=2,L!T13,L!T23))</f>
        <v>Paga</v>
      </c>
      <c r="O5" s="133" t="str">
        <f>IF(L!$A$1=1,L!U4,IF(L!$A$1=2,L!U13,L!U23))</f>
        <v>Mallra dhe shërbime</v>
      </c>
      <c r="P5" s="120" t="str">
        <f>IF(L!$A$1=1,L!V4,IF(L!$A$1=2,L!V13,L!V23))</f>
        <v>Shpenzime komunale</v>
      </c>
      <c r="Q5" s="120" t="str">
        <f>IF(L!$A$1=1,L!W4,IF(L!$A$1=2,L!W13,L!W23))</f>
        <v>Subvencione dhe Transfere</v>
      </c>
      <c r="R5" s="120" t="str">
        <f>IF(L!$A$1=1,L!X4,IF(L!$A$1=2,L!X13,L!X23))</f>
        <v>Shpenzime Kapitale</v>
      </c>
      <c r="S5" s="158"/>
      <c r="T5" s="120" t="s">
        <v>0</v>
      </c>
      <c r="U5" s="120" t="s">
        <v>32</v>
      </c>
      <c r="V5" s="120" t="s">
        <v>33</v>
      </c>
      <c r="W5" s="120" t="s">
        <v>21</v>
      </c>
      <c r="X5" s="120" t="s">
        <v>35</v>
      </c>
      <c r="Y5" s="158"/>
      <c r="Z5" s="120" t="s">
        <v>0</v>
      </c>
      <c r="AA5" s="120" t="s">
        <v>32</v>
      </c>
      <c r="AB5" s="120" t="s">
        <v>33</v>
      </c>
      <c r="AC5" s="120" t="s">
        <v>21</v>
      </c>
      <c r="AD5" s="120" t="s">
        <v>35</v>
      </c>
    </row>
    <row r="6" spans="1:30" s="106" customFormat="1" x14ac:dyDescent="0.25">
      <c r="A6" s="151">
        <v>2015</v>
      </c>
      <c r="B6" s="103" t="str">
        <f>IF(L!$A$1=1,L!B127,IF(L!$A$1=2,L!C127,L!D127))</f>
        <v>2015 Janar</v>
      </c>
      <c r="C6" s="104">
        <f>M6+S6+Y6</f>
        <v>745577.87</v>
      </c>
      <c r="D6" s="104">
        <f t="shared" ref="D6:D17" si="0">E6+M6</f>
        <v>171197.60219000003</v>
      </c>
      <c r="E6" s="104">
        <f t="shared" ref="E6:E17" si="1">F6+G6+H6+I6+L6</f>
        <v>49254.672189999997</v>
      </c>
      <c r="F6" s="105">
        <v>22437.73558</v>
      </c>
      <c r="G6" s="105">
        <v>1057.62814</v>
      </c>
      <c r="H6" s="105">
        <v>593.24414000000002</v>
      </c>
      <c r="I6" s="105">
        <f t="shared" ref="I6:I17" si="2">SUM(J6:K6)</f>
        <v>25166.064330000001</v>
      </c>
      <c r="J6" s="105">
        <v>21966.599839999999</v>
      </c>
      <c r="K6" s="105">
        <v>3199.4644900000021</v>
      </c>
      <c r="L6" s="105">
        <v>0</v>
      </c>
      <c r="M6" s="110">
        <f t="shared" ref="M6:M17" si="3">SUM(N6:R6)</f>
        <v>121942.93000000004</v>
      </c>
      <c r="N6" s="104">
        <v>113046.19000000003</v>
      </c>
      <c r="O6" s="110">
        <v>60</v>
      </c>
      <c r="P6" s="104">
        <f>9826.32-V6-AB6</f>
        <v>8836.74</v>
      </c>
      <c r="Q6" s="104"/>
      <c r="R6" s="104"/>
      <c r="S6" s="130">
        <f t="shared" ref="S6:S17" si="4">SUM(T6:X6)</f>
        <v>514803.47000000003</v>
      </c>
      <c r="T6" s="104">
        <v>513813.89</v>
      </c>
      <c r="U6" s="104"/>
      <c r="V6" s="104">
        <v>989.58</v>
      </c>
      <c r="W6" s="104"/>
      <c r="X6" s="104"/>
      <c r="Y6" s="130">
        <f t="shared" ref="Y6:Y15" si="5">SUM(Z6:AD6)</f>
        <v>108831.47</v>
      </c>
      <c r="Z6" s="104">
        <v>108831.47</v>
      </c>
      <c r="AA6" s="104"/>
      <c r="AB6" s="104"/>
      <c r="AC6" s="104"/>
      <c r="AD6" s="104"/>
    </row>
    <row r="7" spans="1:30" s="106" customFormat="1" x14ac:dyDescent="0.25">
      <c r="A7" s="151"/>
      <c r="B7" s="103" t="str">
        <f>IF(L!$A$1=1,L!B128,IF(L!$A$1=2,L!C128,L!D128))</f>
        <v>2015 Shkurt</v>
      </c>
      <c r="C7" s="104">
        <f t="shared" ref="C7:C44" si="6">M7+S7+Y7</f>
        <v>1018553.0800000001</v>
      </c>
      <c r="D7" s="104">
        <f t="shared" si="0"/>
        <v>378704.01517000003</v>
      </c>
      <c r="E7" s="104">
        <f t="shared" si="1"/>
        <v>79184.945170000006</v>
      </c>
      <c r="F7" s="105">
        <v>22559.534029999999</v>
      </c>
      <c r="G7" s="105">
        <v>11594.898069999999</v>
      </c>
      <c r="H7" s="105">
        <v>2010.4006399999998</v>
      </c>
      <c r="I7" s="105">
        <f t="shared" si="2"/>
        <v>35339.037120000001</v>
      </c>
      <c r="J7" s="105">
        <v>26925.340039999999</v>
      </c>
      <c r="K7" s="105">
        <v>8413.6970800000017</v>
      </c>
      <c r="L7" s="105">
        <v>7681.0753100000002</v>
      </c>
      <c r="M7" s="104">
        <f t="shared" si="3"/>
        <v>299519.07</v>
      </c>
      <c r="N7" s="104">
        <v>188686.3</v>
      </c>
      <c r="O7" s="104">
        <v>70320.12</v>
      </c>
      <c r="P7" s="104">
        <f>32536.69-V7-AB7</f>
        <v>13302.449999999999</v>
      </c>
      <c r="Q7" s="104">
        <f>12020-W7-AC7</f>
        <v>990</v>
      </c>
      <c r="R7" s="104">
        <v>26220.2</v>
      </c>
      <c r="S7" s="131">
        <f t="shared" si="4"/>
        <v>585756.81000000006</v>
      </c>
      <c r="T7" s="104">
        <v>524845.42000000004</v>
      </c>
      <c r="U7" s="104">
        <v>42709.66</v>
      </c>
      <c r="V7" s="104">
        <v>12701.73</v>
      </c>
      <c r="W7" s="104">
        <v>5500</v>
      </c>
      <c r="X7" s="104"/>
      <c r="Y7" s="131">
        <f t="shared" si="5"/>
        <v>133277.20000000001</v>
      </c>
      <c r="Z7" s="104">
        <v>110819.33</v>
      </c>
      <c r="AA7" s="104">
        <v>10395.36</v>
      </c>
      <c r="AB7" s="104">
        <v>6532.51</v>
      </c>
      <c r="AC7" s="104">
        <v>5530</v>
      </c>
      <c r="AD7" s="104"/>
    </row>
    <row r="8" spans="1:30" s="106" customFormat="1" x14ac:dyDescent="0.25">
      <c r="A8" s="151"/>
      <c r="B8" s="103" t="str">
        <f>IF(L!$A$1=1,L!B129,IF(L!$A$1=2,L!C129,L!D129))</f>
        <v xml:space="preserve">2015 Mars </v>
      </c>
      <c r="C8" s="104">
        <f t="shared" si="6"/>
        <v>934559.38000000012</v>
      </c>
      <c r="D8" s="104">
        <f t="shared" si="0"/>
        <v>304528.03026000003</v>
      </c>
      <c r="E8" s="104">
        <f t="shared" si="1"/>
        <v>80068.700260000012</v>
      </c>
      <c r="F8" s="105">
        <v>22969.739990000002</v>
      </c>
      <c r="G8" s="105">
        <v>9928.8418999999994</v>
      </c>
      <c r="H8" s="105">
        <v>1367.8959</v>
      </c>
      <c r="I8" s="105">
        <f t="shared" si="2"/>
        <v>31091.348050000001</v>
      </c>
      <c r="J8" s="105">
        <v>23087.762490000001</v>
      </c>
      <c r="K8" s="105">
        <v>8003.5855599999995</v>
      </c>
      <c r="L8" s="105">
        <v>14710.87442</v>
      </c>
      <c r="M8" s="104">
        <f t="shared" si="3"/>
        <v>224459.33000000005</v>
      </c>
      <c r="N8" s="104">
        <v>111927.69000000006</v>
      </c>
      <c r="O8" s="104">
        <v>46304.61</v>
      </c>
      <c r="P8" s="104">
        <f>24673.93-V8-AB8</f>
        <v>13722.869999999999</v>
      </c>
      <c r="Q8" s="104">
        <f>58650-W8-AC8</f>
        <v>33200</v>
      </c>
      <c r="R8" s="104">
        <v>19304.16</v>
      </c>
      <c r="S8" s="131">
        <f t="shared" si="4"/>
        <v>562616.02</v>
      </c>
      <c r="T8" s="104">
        <v>515945.79</v>
      </c>
      <c r="U8" s="104">
        <v>36733.21</v>
      </c>
      <c r="V8" s="104">
        <v>7457.02</v>
      </c>
      <c r="W8" s="104">
        <v>2480</v>
      </c>
      <c r="X8" s="104"/>
      <c r="Y8" s="131">
        <f t="shared" si="5"/>
        <v>147484.02999999997</v>
      </c>
      <c r="Z8" s="104">
        <v>111696.56</v>
      </c>
      <c r="AA8" s="104">
        <v>9323.43</v>
      </c>
      <c r="AB8" s="104">
        <v>3494.04</v>
      </c>
      <c r="AC8" s="104">
        <v>22970</v>
      </c>
      <c r="AD8" s="104"/>
    </row>
    <row r="9" spans="1:30" s="106" customFormat="1" x14ac:dyDescent="0.25">
      <c r="A9" s="151"/>
      <c r="B9" s="103" t="str">
        <f>IF(L!$A$1=1,L!B130,IF(L!$A$1=2,L!C130,L!D130))</f>
        <v>2015 Prill</v>
      </c>
      <c r="C9" s="104">
        <f t="shared" si="6"/>
        <v>941850.98</v>
      </c>
      <c r="D9" s="104">
        <f t="shared" si="0"/>
        <v>266330.67823000008</v>
      </c>
      <c r="E9" s="104">
        <f t="shared" si="1"/>
        <v>92397.66823000001</v>
      </c>
      <c r="F9" s="105">
        <v>22880.341100000009</v>
      </c>
      <c r="G9" s="105">
        <v>14999.273039999998</v>
      </c>
      <c r="H9" s="105">
        <v>2000.2985200000003</v>
      </c>
      <c r="I9" s="105">
        <f t="shared" si="2"/>
        <v>40454.004580000001</v>
      </c>
      <c r="J9" s="105">
        <v>25533.62801</v>
      </c>
      <c r="K9" s="105">
        <v>14920.37657</v>
      </c>
      <c r="L9" s="105">
        <v>12063.75099</v>
      </c>
      <c r="M9" s="104">
        <f t="shared" si="3"/>
        <v>173933.01000000004</v>
      </c>
      <c r="N9" s="104">
        <v>111215.58000000002</v>
      </c>
      <c r="O9" s="104">
        <v>31423.78000000001</v>
      </c>
      <c r="P9" s="104">
        <f>31118.07-V9-AB9</f>
        <v>14075.669999999998</v>
      </c>
      <c r="Q9" s="104">
        <f>37101.95-W9-AC9</f>
        <v>8258.9499999999971</v>
      </c>
      <c r="R9" s="104">
        <v>8959.0300000000007</v>
      </c>
      <c r="S9" s="131">
        <f t="shared" si="4"/>
        <v>617120.53999999992</v>
      </c>
      <c r="T9" s="104">
        <v>536944.6</v>
      </c>
      <c r="U9" s="104">
        <v>59232.49</v>
      </c>
      <c r="V9" s="104">
        <v>13500.45</v>
      </c>
      <c r="W9" s="104">
        <v>7443</v>
      </c>
      <c r="X9" s="104"/>
      <c r="Y9" s="131">
        <f t="shared" si="5"/>
        <v>150797.43</v>
      </c>
      <c r="Z9" s="104">
        <v>112830.43</v>
      </c>
      <c r="AA9" s="104">
        <v>13025.05</v>
      </c>
      <c r="AB9" s="104">
        <v>3541.95</v>
      </c>
      <c r="AC9" s="104">
        <v>21400</v>
      </c>
      <c r="AD9" s="104"/>
    </row>
    <row r="10" spans="1:30" s="106" customFormat="1" x14ac:dyDescent="0.25">
      <c r="A10" s="151"/>
      <c r="B10" s="103" t="str">
        <f>IF(L!$A$1=1,L!B131,IF(L!$A$1=2,L!C131,L!D131))</f>
        <v>2015 Maj</v>
      </c>
      <c r="C10" s="104">
        <f t="shared" si="6"/>
        <v>1112011.8900000001</v>
      </c>
      <c r="D10" s="104">
        <f t="shared" si="0"/>
        <v>426463.86712000007</v>
      </c>
      <c r="E10" s="104">
        <f t="shared" si="1"/>
        <v>85661.267120000004</v>
      </c>
      <c r="F10" s="105">
        <v>23773.203939999999</v>
      </c>
      <c r="G10" s="105">
        <v>13517.94226</v>
      </c>
      <c r="H10" s="105">
        <v>1098.20859</v>
      </c>
      <c r="I10" s="105">
        <f t="shared" si="2"/>
        <v>29239.275570000002</v>
      </c>
      <c r="J10" s="105">
        <v>25043.973529999996</v>
      </c>
      <c r="K10" s="105">
        <v>4195.3020400000059</v>
      </c>
      <c r="L10" s="105">
        <v>18032.636759999998</v>
      </c>
      <c r="M10" s="104">
        <f t="shared" si="3"/>
        <v>340802.60000000009</v>
      </c>
      <c r="N10" s="104">
        <v>118812.67000000007</v>
      </c>
      <c r="O10" s="104">
        <v>45682.960000000006</v>
      </c>
      <c r="P10" s="104">
        <f>15448.98-V10-AB10</f>
        <v>9453.08</v>
      </c>
      <c r="Q10" s="104">
        <f>13050-W10-AC10</f>
        <v>800</v>
      </c>
      <c r="R10" s="104">
        <f>169034.89-AD10</f>
        <v>166053.89000000001</v>
      </c>
      <c r="S10" s="131">
        <f t="shared" si="4"/>
        <v>611372.72</v>
      </c>
      <c r="T10" s="104">
        <v>558706.81999999995</v>
      </c>
      <c r="U10" s="104">
        <v>48479.97</v>
      </c>
      <c r="V10" s="104">
        <v>4185.93</v>
      </c>
      <c r="W10" s="104">
        <v>0</v>
      </c>
      <c r="X10" s="104"/>
      <c r="Y10" s="131">
        <f>SUM(Z10:AD10)</f>
        <v>159836.57</v>
      </c>
      <c r="Z10" s="104">
        <v>123467.9</v>
      </c>
      <c r="AA10" s="104">
        <v>19327.7</v>
      </c>
      <c r="AB10" s="104">
        <v>1809.97</v>
      </c>
      <c r="AC10" s="104">
        <v>12250</v>
      </c>
      <c r="AD10" s="104">
        <v>2981</v>
      </c>
    </row>
    <row r="11" spans="1:30" s="106" customFormat="1" x14ac:dyDescent="0.25">
      <c r="A11" s="151"/>
      <c r="B11" s="103" t="str">
        <f>IF(L!$A$1=1,L!B132,IF(L!$A$1=2,L!C132,L!D132))</f>
        <v>2015 Qershor</v>
      </c>
      <c r="C11" s="104">
        <f t="shared" si="6"/>
        <v>1157780.5399999998</v>
      </c>
      <c r="D11" s="104">
        <f t="shared" si="0"/>
        <v>506446.67051000003</v>
      </c>
      <c r="E11" s="104">
        <f t="shared" si="1"/>
        <v>97711.650509999992</v>
      </c>
      <c r="F11" s="105">
        <v>24383.356379999994</v>
      </c>
      <c r="G11" s="105">
        <v>9917.7355200000002</v>
      </c>
      <c r="H11" s="105">
        <v>539.48724999999968</v>
      </c>
      <c r="I11" s="105">
        <f t="shared" si="2"/>
        <v>31167.565300000006</v>
      </c>
      <c r="J11" s="105">
        <v>24200.42841</v>
      </c>
      <c r="K11" s="105">
        <v>6967.1368900000052</v>
      </c>
      <c r="L11" s="105">
        <v>31703.506059999996</v>
      </c>
      <c r="M11" s="104">
        <f t="shared" si="3"/>
        <v>408735.02</v>
      </c>
      <c r="N11" s="104">
        <v>112387.62000000002</v>
      </c>
      <c r="O11" s="104">
        <v>64976.390000000007</v>
      </c>
      <c r="P11" s="104">
        <f>5353.03-V11-AB11</f>
        <v>1689.5600000000004</v>
      </c>
      <c r="Q11" s="104">
        <f>16870-W11-AC11</f>
        <v>6970</v>
      </c>
      <c r="R11" s="104">
        <v>222711.45</v>
      </c>
      <c r="S11" s="131">
        <f t="shared" si="4"/>
        <v>603021.25999999989</v>
      </c>
      <c r="T11" s="104">
        <v>557511.31999999995</v>
      </c>
      <c r="U11" s="104">
        <v>41722.870000000003</v>
      </c>
      <c r="V11" s="104">
        <v>1587.07</v>
      </c>
      <c r="W11" s="104">
        <v>2200</v>
      </c>
      <c r="X11" s="104"/>
      <c r="Y11" s="131">
        <f t="shared" si="5"/>
        <v>146024.25999999998</v>
      </c>
      <c r="Z11" s="104">
        <v>122818.4</v>
      </c>
      <c r="AA11" s="104">
        <v>13429.46</v>
      </c>
      <c r="AB11" s="104">
        <v>2076.3999999999996</v>
      </c>
      <c r="AC11" s="104">
        <v>7700</v>
      </c>
      <c r="AD11" s="104"/>
    </row>
    <row r="12" spans="1:30" s="106" customFormat="1" x14ac:dyDescent="0.25">
      <c r="A12" s="151"/>
      <c r="B12" s="103" t="str">
        <f>IF(L!$A$1=1,L!B133,IF(L!$A$1=2,L!C133,L!D133))</f>
        <v>2015 Korrik</v>
      </c>
      <c r="C12" s="104">
        <f t="shared" si="6"/>
        <v>1119222.3500000001</v>
      </c>
      <c r="D12" s="104">
        <f t="shared" si="0"/>
        <v>439179.12190000003</v>
      </c>
      <c r="E12" s="104">
        <f t="shared" si="1"/>
        <v>91717.071899999995</v>
      </c>
      <c r="F12" s="105">
        <v>23773.113380000003</v>
      </c>
      <c r="G12" s="105">
        <v>9231.32575</v>
      </c>
      <c r="H12" s="105">
        <v>544.56320000000005</v>
      </c>
      <c r="I12" s="105">
        <f t="shared" si="2"/>
        <v>32131.59863</v>
      </c>
      <c r="J12" s="105">
        <v>23966.10428</v>
      </c>
      <c r="K12" s="105">
        <v>8165.4943500000008</v>
      </c>
      <c r="L12" s="105">
        <v>26036.470939999999</v>
      </c>
      <c r="M12" s="104">
        <f t="shared" si="3"/>
        <v>347462.05000000005</v>
      </c>
      <c r="N12" s="104">
        <v>122617.69000000008</v>
      </c>
      <c r="O12" s="104">
        <v>34342.150000000009</v>
      </c>
      <c r="P12" s="104">
        <f>7832.23-V12-AB12</f>
        <v>5418.4</v>
      </c>
      <c r="Q12" s="104">
        <f>22175-W12-AC12</f>
        <v>3725</v>
      </c>
      <c r="R12" s="104">
        <f>212007.61-X12-AD12</f>
        <v>181358.81</v>
      </c>
      <c r="S12" s="131">
        <f t="shared" si="4"/>
        <v>607604.93999999994</v>
      </c>
      <c r="T12" s="104">
        <v>555118.82999999996</v>
      </c>
      <c r="U12" s="104">
        <v>35148.47</v>
      </c>
      <c r="V12" s="104">
        <v>1494.64</v>
      </c>
      <c r="W12" s="104">
        <v>6000</v>
      </c>
      <c r="X12" s="104">
        <v>9843</v>
      </c>
      <c r="Y12" s="131">
        <f>SUM(Z12:AD12)</f>
        <v>164155.35999999999</v>
      </c>
      <c r="Z12" s="104">
        <v>122819.39</v>
      </c>
      <c r="AA12" s="104">
        <v>7160.98</v>
      </c>
      <c r="AB12" s="104">
        <v>919.19</v>
      </c>
      <c r="AC12" s="104">
        <v>12450</v>
      </c>
      <c r="AD12" s="104">
        <v>20805.8</v>
      </c>
    </row>
    <row r="13" spans="1:30" s="106" customFormat="1" x14ac:dyDescent="0.25">
      <c r="A13" s="151"/>
      <c r="B13" s="103" t="str">
        <f>IF(L!$A$1=1,L!B134,IF(L!$A$1=2,L!C134,L!D134))</f>
        <v>2015 Gusht</v>
      </c>
      <c r="C13" s="104">
        <f t="shared" si="6"/>
        <v>1222545.01</v>
      </c>
      <c r="D13" s="104">
        <f t="shared" si="0"/>
        <v>419984.41639999999</v>
      </c>
      <c r="E13" s="104">
        <f t="shared" si="1"/>
        <v>86146.676399999997</v>
      </c>
      <c r="F13" s="105">
        <v>23362.254690000002</v>
      </c>
      <c r="G13" s="105">
        <v>10503.305199999999</v>
      </c>
      <c r="H13" s="105">
        <v>1028.7971600000001</v>
      </c>
      <c r="I13" s="105">
        <f t="shared" si="2"/>
        <v>30389.552379999997</v>
      </c>
      <c r="J13" s="105">
        <v>25798.046539999999</v>
      </c>
      <c r="K13" s="105">
        <v>4591.505839999998</v>
      </c>
      <c r="L13" s="105">
        <v>20862.766970000004</v>
      </c>
      <c r="M13" s="104">
        <f t="shared" si="3"/>
        <v>333837.74</v>
      </c>
      <c r="N13" s="104">
        <v>119519.49999999996</v>
      </c>
      <c r="O13" s="104">
        <v>28552.05999999999</v>
      </c>
      <c r="P13" s="104">
        <f>15055.72-V13-AB13</f>
        <v>9004.91</v>
      </c>
      <c r="Q13" s="104">
        <f>9365-W13-AC13</f>
        <v>4115</v>
      </c>
      <c r="R13" s="104">
        <f>312341.9-X13-AD13</f>
        <v>172646.27000000002</v>
      </c>
      <c r="S13" s="131">
        <f t="shared" si="4"/>
        <v>722068.34</v>
      </c>
      <c r="T13" s="104">
        <v>543777.89</v>
      </c>
      <c r="U13" s="104">
        <v>60079.73</v>
      </c>
      <c r="V13" s="104">
        <v>2144.23</v>
      </c>
      <c r="W13" s="104">
        <v>350</v>
      </c>
      <c r="X13" s="104">
        <v>115716.49</v>
      </c>
      <c r="Y13" s="131">
        <f>SUM(Z13:AD13)</f>
        <v>166638.93</v>
      </c>
      <c r="Z13" s="104">
        <v>122261.21</v>
      </c>
      <c r="AA13" s="104">
        <v>11592</v>
      </c>
      <c r="AB13" s="104">
        <v>3906.58</v>
      </c>
      <c r="AC13" s="104">
        <v>4900</v>
      </c>
      <c r="AD13" s="104">
        <v>23979.14</v>
      </c>
    </row>
    <row r="14" spans="1:30" s="106" customFormat="1" x14ac:dyDescent="0.25">
      <c r="A14" s="151"/>
      <c r="B14" s="103" t="str">
        <f>IF(L!$A$1=1,L!B135,IF(L!$A$1=2,L!C135,L!D135))</f>
        <v>2015 Shtator</v>
      </c>
      <c r="C14" s="104">
        <f t="shared" si="6"/>
        <v>1541749.49</v>
      </c>
      <c r="D14" s="104">
        <f t="shared" si="0"/>
        <v>805384.69256</v>
      </c>
      <c r="E14" s="104">
        <f t="shared" si="1"/>
        <v>85140.092560000005</v>
      </c>
      <c r="F14" s="105">
        <v>23281.82229</v>
      </c>
      <c r="G14" s="105">
        <v>10301.702159999999</v>
      </c>
      <c r="H14" s="105">
        <v>1032.0311099999999</v>
      </c>
      <c r="I14" s="105">
        <f t="shared" si="2"/>
        <v>30950.884389999999</v>
      </c>
      <c r="J14" s="105">
        <v>26076.743549999999</v>
      </c>
      <c r="K14" s="105">
        <v>4874.14084</v>
      </c>
      <c r="L14" s="105">
        <v>19573.652610000001</v>
      </c>
      <c r="M14" s="104">
        <f t="shared" si="3"/>
        <v>720244.6</v>
      </c>
      <c r="N14" s="104">
        <v>110762.91000000008</v>
      </c>
      <c r="O14" s="104">
        <v>38549.73000000001</v>
      </c>
      <c r="P14" s="104">
        <f>38839.69-V14-AB14</f>
        <v>26492.42</v>
      </c>
      <c r="Q14" s="104">
        <f>8735-W14-AC14</f>
        <v>8605</v>
      </c>
      <c r="R14" s="104">
        <f>605545.24-X14-AD14</f>
        <v>535834.53999999992</v>
      </c>
      <c r="S14" s="131">
        <f t="shared" si="4"/>
        <v>639814.12999999989</v>
      </c>
      <c r="T14" s="104">
        <v>542849.57999999996</v>
      </c>
      <c r="U14" s="104">
        <v>53185.09</v>
      </c>
      <c r="V14" s="104">
        <v>8812.44</v>
      </c>
      <c r="W14" s="104">
        <v>160</v>
      </c>
      <c r="X14" s="104">
        <v>34807.019999999997</v>
      </c>
      <c r="Y14" s="131">
        <f>SUM(Z14:AD14)</f>
        <v>181690.75999999998</v>
      </c>
      <c r="Z14" s="104">
        <v>122155.05</v>
      </c>
      <c r="AA14" s="104">
        <v>21127.200000000001</v>
      </c>
      <c r="AB14" s="104">
        <v>3534.83</v>
      </c>
      <c r="AC14" s="104">
        <v>-30</v>
      </c>
      <c r="AD14" s="104">
        <v>34903.68</v>
      </c>
    </row>
    <row r="15" spans="1:30" s="106" customFormat="1" x14ac:dyDescent="0.25">
      <c r="A15" s="151"/>
      <c r="B15" s="103" t="str">
        <f>IF(L!$A$1=1,L!B136,IF(L!$A$1=2,L!C136,L!D136))</f>
        <v>2015 Tetor</v>
      </c>
      <c r="C15" s="104">
        <f t="shared" si="6"/>
        <v>1562328.04</v>
      </c>
      <c r="D15" s="104">
        <f t="shared" si="0"/>
        <v>727957.33663999999</v>
      </c>
      <c r="E15" s="104">
        <f t="shared" si="1"/>
        <v>110744.39664000001</v>
      </c>
      <c r="F15" s="105">
        <v>23995.12126</v>
      </c>
      <c r="G15" s="105">
        <v>13060.851830000001</v>
      </c>
      <c r="H15" s="105">
        <v>730.91529000000003</v>
      </c>
      <c r="I15" s="105">
        <f t="shared" si="2"/>
        <v>36080.336440000006</v>
      </c>
      <c r="J15" s="105">
        <v>25216.76107</v>
      </c>
      <c r="K15" s="105">
        <v>10863.575370000006</v>
      </c>
      <c r="L15" s="105">
        <v>36877.171820000003</v>
      </c>
      <c r="M15" s="104">
        <f t="shared" si="3"/>
        <v>617212.93999999994</v>
      </c>
      <c r="N15" s="104">
        <v>114302.93000000002</v>
      </c>
      <c r="O15" s="104">
        <v>41738.280000000013</v>
      </c>
      <c r="P15" s="104">
        <f>7942.29-V15-AB15</f>
        <v>1918.69</v>
      </c>
      <c r="Q15" s="104">
        <f>7540-W15-AC15</f>
        <v>6400</v>
      </c>
      <c r="R15" s="104">
        <f>606148.46-X15</f>
        <v>452853.03999999992</v>
      </c>
      <c r="S15" s="131">
        <f t="shared" si="4"/>
        <v>797605.79</v>
      </c>
      <c r="T15" s="104">
        <v>545940.68999999994</v>
      </c>
      <c r="U15" s="104">
        <v>93791.76</v>
      </c>
      <c r="V15" s="104">
        <v>3637.92</v>
      </c>
      <c r="W15" s="104">
        <v>940</v>
      </c>
      <c r="X15" s="104">
        <v>153295.42000000001</v>
      </c>
      <c r="Y15" s="131">
        <f t="shared" si="5"/>
        <v>147509.31</v>
      </c>
      <c r="Z15" s="104">
        <v>124024.1</v>
      </c>
      <c r="AA15" s="104">
        <v>20899.53</v>
      </c>
      <c r="AB15" s="104">
        <v>2385.6799999999998</v>
      </c>
      <c r="AC15" s="104">
        <v>200</v>
      </c>
      <c r="AD15" s="104"/>
    </row>
    <row r="16" spans="1:30" s="106" customFormat="1" x14ac:dyDescent="0.25">
      <c r="A16" s="151"/>
      <c r="B16" s="103" t="str">
        <f>IF(L!$A$1=1,L!B137,IF(L!$A$1=2,L!C137,L!D137))</f>
        <v xml:space="preserve">2015 Nëntor </v>
      </c>
      <c r="C16" s="104">
        <f t="shared" si="6"/>
        <v>1491324.5399999998</v>
      </c>
      <c r="D16" s="104">
        <f t="shared" si="0"/>
        <v>717167.38695999992</v>
      </c>
      <c r="E16" s="104">
        <f t="shared" si="1"/>
        <v>107075.69696</v>
      </c>
      <c r="F16" s="105">
        <v>24552.538789999999</v>
      </c>
      <c r="G16" s="105">
        <v>13528.38221</v>
      </c>
      <c r="H16" s="105">
        <v>993.77592000000004</v>
      </c>
      <c r="I16" s="105">
        <f>SUM(J16:K16)</f>
        <v>37654.687310000001</v>
      </c>
      <c r="J16" s="105">
        <v>26626.940040000005</v>
      </c>
      <c r="K16" s="105">
        <v>11027.747269999996</v>
      </c>
      <c r="L16" s="105">
        <v>30346.312730000001</v>
      </c>
      <c r="M16" s="104">
        <f t="shared" si="3"/>
        <v>610091.68999999994</v>
      </c>
      <c r="N16" s="104">
        <v>114642.96999999997</v>
      </c>
      <c r="O16" s="104">
        <v>45068.009999999995</v>
      </c>
      <c r="P16" s="104">
        <f>18483.8-V16-AB16</f>
        <v>8950.74</v>
      </c>
      <c r="Q16" s="104">
        <f>4000-W16-AC16</f>
        <v>3510</v>
      </c>
      <c r="R16" s="104">
        <f>563844.8-X16-AD16</f>
        <v>437919.97000000003</v>
      </c>
      <c r="S16" s="131">
        <f t="shared" si="4"/>
        <v>735001.84</v>
      </c>
      <c r="T16" s="104">
        <v>549953.51</v>
      </c>
      <c r="U16" s="104">
        <v>59193.5</v>
      </c>
      <c r="V16" s="104">
        <v>6420</v>
      </c>
      <c r="W16" s="104">
        <v>490</v>
      </c>
      <c r="X16" s="104">
        <v>118944.83</v>
      </c>
      <c r="Y16" s="131">
        <f>SUM(Z16:AD16)</f>
        <v>146231.00999999998</v>
      </c>
      <c r="Z16" s="104">
        <v>122881.87</v>
      </c>
      <c r="AA16" s="104">
        <v>13256.08</v>
      </c>
      <c r="AB16" s="104">
        <v>3113.06</v>
      </c>
      <c r="AC16" s="104"/>
      <c r="AD16" s="104">
        <v>6980</v>
      </c>
    </row>
    <row r="17" spans="1:30" s="106" customFormat="1" x14ac:dyDescent="0.25">
      <c r="A17" s="151"/>
      <c r="B17" s="103" t="str">
        <f>IF(L!$A$1=1,L!B138,IF(L!$A$1=2,L!C138,L!D138))</f>
        <v>2015 Dhjetor</v>
      </c>
      <c r="C17" s="104">
        <f t="shared" si="6"/>
        <v>2094087.44</v>
      </c>
      <c r="D17" s="104">
        <f t="shared" si="0"/>
        <v>1256547.5508300001</v>
      </c>
      <c r="E17" s="104">
        <f t="shared" si="1"/>
        <v>173757.07083000004</v>
      </c>
      <c r="F17" s="105">
        <v>24829.704150000034</v>
      </c>
      <c r="G17" s="105">
        <f>26132.89663-716.5</f>
        <v>25416.396629999999</v>
      </c>
      <c r="H17" s="105">
        <v>2715.1892099999968</v>
      </c>
      <c r="I17" s="105">
        <f t="shared" si="2"/>
        <v>49057.545700000017</v>
      </c>
      <c r="J17" s="105">
        <v>31276.325220000002</v>
      </c>
      <c r="K17" s="105">
        <v>17781.220480000015</v>
      </c>
      <c r="L17" s="105">
        <v>71738.235140000004</v>
      </c>
      <c r="M17" s="104">
        <f t="shared" si="3"/>
        <v>1082790.48</v>
      </c>
      <c r="N17" s="104">
        <v>116005.40999999999</v>
      </c>
      <c r="O17" s="104">
        <v>141534.20000000001</v>
      </c>
      <c r="P17" s="104">
        <f>30298.28-V17-AB17</f>
        <v>7094.3999999999978</v>
      </c>
      <c r="Q17" s="104">
        <f>21571.8-W17-AC17</f>
        <v>5071.7999999999993</v>
      </c>
      <c r="R17" s="104">
        <f>996813.06-X17-AD17</f>
        <v>813084.67</v>
      </c>
      <c r="S17" s="131">
        <f t="shared" si="4"/>
        <v>738434</v>
      </c>
      <c r="T17" s="104">
        <v>553087.55000000005</v>
      </c>
      <c r="U17" s="104">
        <v>66486</v>
      </c>
      <c r="V17" s="104">
        <v>16962.95</v>
      </c>
      <c r="W17" s="111">
        <v>8000</v>
      </c>
      <c r="X17" s="104">
        <v>93897.5</v>
      </c>
      <c r="Y17" s="131">
        <f>SUM(Z17:AD17)</f>
        <v>272862.96000000002</v>
      </c>
      <c r="Z17" s="104">
        <v>119068.7</v>
      </c>
      <c r="AA17" s="104">
        <v>49222.44</v>
      </c>
      <c r="AB17" s="104">
        <v>6240.93</v>
      </c>
      <c r="AC17" s="104">
        <v>8500</v>
      </c>
      <c r="AD17" s="104">
        <v>89830.89</v>
      </c>
    </row>
    <row r="18" spans="1:30" s="107" customFormat="1" x14ac:dyDescent="0.25">
      <c r="A18" s="151"/>
      <c r="B18" s="108" t="str">
        <f>IF(L!$A$1=1,L!B139,IF(L!$A$1=2,L!C139,L!D139))</f>
        <v>Gjithsej 2015</v>
      </c>
      <c r="C18" s="102">
        <f t="shared" si="6"/>
        <v>14941590.609999999</v>
      </c>
      <c r="D18" s="102">
        <f>E18+M18</f>
        <v>6420607.8687700015</v>
      </c>
      <c r="E18" s="102">
        <f>F18+G18+H18+I18+L18</f>
        <v>1139576.4087700001</v>
      </c>
      <c r="F18" s="109">
        <v>282798.46558000002</v>
      </c>
      <c r="G18" s="109">
        <v>143774.78271</v>
      </c>
      <c r="H18" s="109">
        <v>14654.806929999999</v>
      </c>
      <c r="I18" s="109">
        <f t="shared" ref="I18" si="7">SUM(J18:K18)</f>
        <v>408721.89980000007</v>
      </c>
      <c r="J18" s="109">
        <v>305718.65302000003</v>
      </c>
      <c r="K18" s="109">
        <v>103003.24678000003</v>
      </c>
      <c r="L18" s="109">
        <v>289626.45374999999</v>
      </c>
      <c r="M18" s="102">
        <f t="shared" ref="M18" si="8">SUM(N18:R18)</f>
        <v>5281031.4600000009</v>
      </c>
      <c r="N18" s="102">
        <f>SUM(N6:N17)</f>
        <v>1453927.46</v>
      </c>
      <c r="O18" s="102">
        <f>SUM(O6:O17)</f>
        <v>588552.29</v>
      </c>
      <c r="P18" s="102">
        <f>SUM(P6:P17)</f>
        <v>119959.93</v>
      </c>
      <c r="Q18" s="102">
        <f>SUM(Q7:Q17)</f>
        <v>81645.75</v>
      </c>
      <c r="R18" s="102">
        <f>SUM(R7:R17)</f>
        <v>3036946.0300000003</v>
      </c>
      <c r="S18" s="102">
        <f>SUM(S6:S17)</f>
        <v>7735219.8599999994</v>
      </c>
      <c r="T18" s="102">
        <f>SUM(T6:T17)</f>
        <v>6498495.8899999997</v>
      </c>
      <c r="U18" s="102">
        <f>SUM(U7:U17)</f>
        <v>596762.75</v>
      </c>
      <c r="V18" s="102">
        <f>SUM(V6:V17)</f>
        <v>79893.960000000006</v>
      </c>
      <c r="W18" s="102">
        <f>SUM(V6:V17)</f>
        <v>79893.960000000006</v>
      </c>
      <c r="X18" s="102">
        <f t="shared" ref="X18" si="9">SUM(X7:X17)</f>
        <v>526504.26</v>
      </c>
      <c r="Y18" s="102">
        <f t="shared" ref="Y18:AD18" si="10">SUM(Y6:Y17)</f>
        <v>1925339.29</v>
      </c>
      <c r="Z18" s="102">
        <f t="shared" si="10"/>
        <v>1423674.41</v>
      </c>
      <c r="AA18" s="102">
        <f t="shared" si="10"/>
        <v>188759.22999999998</v>
      </c>
      <c r="AB18" s="102">
        <f t="shared" si="10"/>
        <v>37555.14</v>
      </c>
      <c r="AC18" s="102">
        <f t="shared" si="10"/>
        <v>95870</v>
      </c>
      <c r="AD18" s="102">
        <f t="shared" si="10"/>
        <v>179480.51</v>
      </c>
    </row>
    <row r="19" spans="1:30" s="106" customFormat="1" x14ac:dyDescent="0.25">
      <c r="A19" s="151">
        <v>2016</v>
      </c>
      <c r="B19" s="103" t="str">
        <f>IF(L!$A$1=1,L!B140,IF(L!$A$1=2,L!C140,L!D140))</f>
        <v>2016 Janar</v>
      </c>
      <c r="C19" s="104">
        <f t="shared" si="6"/>
        <v>787321.39</v>
      </c>
      <c r="D19" s="104">
        <f>E19+M19</f>
        <v>170705.02059999996</v>
      </c>
      <c r="E19" s="104">
        <f>F19+G19+H19+I19+L19</f>
        <v>55210.410600000003</v>
      </c>
      <c r="F19" s="105">
        <v>24766.788860000001</v>
      </c>
      <c r="G19" s="105">
        <v>1424.3270399999999</v>
      </c>
      <c r="H19" s="105">
        <v>416.80649</v>
      </c>
      <c r="I19" s="105">
        <f>SUM(J19:K19)</f>
        <v>28602.48821</v>
      </c>
      <c r="J19" s="105">
        <v>25072.225900000001</v>
      </c>
      <c r="K19" s="105">
        <v>3530.2623099999996</v>
      </c>
      <c r="L19" s="105">
        <v>0</v>
      </c>
      <c r="M19" s="104">
        <f>SUM(N19:R19)</f>
        <v>115494.60999999996</v>
      </c>
      <c r="N19" s="104">
        <v>115494.60999999996</v>
      </c>
      <c r="O19" s="104"/>
      <c r="P19" s="104"/>
      <c r="Q19" s="104"/>
      <c r="R19" s="104"/>
      <c r="S19" s="131">
        <f>SUM(T19:X19)</f>
        <v>546742.06000000006</v>
      </c>
      <c r="T19" s="104">
        <v>546742.06000000006</v>
      </c>
      <c r="U19" s="104"/>
      <c r="V19" s="104"/>
      <c r="W19" s="104"/>
      <c r="X19" s="104"/>
      <c r="Y19" s="131">
        <f>SUM(Z19:AD19)</f>
        <v>125084.72</v>
      </c>
      <c r="Z19" s="104">
        <v>125084.72</v>
      </c>
      <c r="AA19" s="104"/>
      <c r="AB19" s="104"/>
      <c r="AC19" s="104"/>
      <c r="AD19" s="104"/>
    </row>
    <row r="20" spans="1:30" s="106" customFormat="1" x14ac:dyDescent="0.25">
      <c r="A20" s="151"/>
      <c r="B20" s="103" t="str">
        <f>IF(L!$A$1=1,L!B141,IF(L!$A$1=2,L!C141,L!D141))</f>
        <v>2016 Shkurt</v>
      </c>
      <c r="C20" s="104">
        <f t="shared" si="6"/>
        <v>1219008.79</v>
      </c>
      <c r="D20" s="104">
        <f t="shared" ref="D20:D30" si="11">E20+M20</f>
        <v>532843.16050999996</v>
      </c>
      <c r="E20" s="104">
        <f t="shared" ref="E20:E30" si="12">F20+G20+H20+I20+L20</f>
        <v>87815.220510000014</v>
      </c>
      <c r="F20" s="105">
        <v>24752.71211</v>
      </c>
      <c r="G20" s="105">
        <v>11959.14465</v>
      </c>
      <c r="H20" s="105">
        <v>2314.2731399999998</v>
      </c>
      <c r="I20" s="105">
        <f>SUM(J20:K20)</f>
        <v>35964.93116</v>
      </c>
      <c r="J20" s="105">
        <v>28793.647400000002</v>
      </c>
      <c r="K20" s="105">
        <v>7171.2837600000003</v>
      </c>
      <c r="L20" s="105">
        <v>12824.159449999999</v>
      </c>
      <c r="M20" s="104">
        <f t="shared" ref="M20:M32" si="13">SUM(N20:R20)</f>
        <v>445027.93999999994</v>
      </c>
      <c r="N20" s="104">
        <v>115486.28999999992</v>
      </c>
      <c r="O20" s="104">
        <v>60871.650000000009</v>
      </c>
      <c r="P20" s="104">
        <v>23851.4</v>
      </c>
      <c r="Q20" s="104">
        <v>2200</v>
      </c>
      <c r="R20" s="104">
        <v>242618.6</v>
      </c>
      <c r="S20" s="131">
        <f t="shared" ref="S20" si="14">SUM(T20:X20)</f>
        <v>625698.07000000007</v>
      </c>
      <c r="T20" s="104">
        <v>543279.54</v>
      </c>
      <c r="U20" s="104">
        <v>65040.75</v>
      </c>
      <c r="V20" s="104">
        <v>15677.78</v>
      </c>
      <c r="W20" s="104">
        <v>1700</v>
      </c>
      <c r="X20" s="104"/>
      <c r="Y20" s="131">
        <f t="shared" ref="Y20" si="15">SUM(Z20:AD20)</f>
        <v>148282.78000000003</v>
      </c>
      <c r="Z20" s="104">
        <v>126570.25</v>
      </c>
      <c r="AA20" s="104">
        <v>12961.14</v>
      </c>
      <c r="AB20" s="104">
        <v>7751.39</v>
      </c>
      <c r="AC20" s="104">
        <v>1000</v>
      </c>
      <c r="AD20" s="104"/>
    </row>
    <row r="21" spans="1:30" s="106" customFormat="1" x14ac:dyDescent="0.25">
      <c r="A21" s="151"/>
      <c r="B21" s="103" t="str">
        <f>IF(L!$A$1=1,L!B142,IF(L!$A$1=2,L!C142,L!D142))</f>
        <v xml:space="preserve">2016 Mars </v>
      </c>
      <c r="C21" s="104">
        <f t="shared" si="6"/>
        <v>1104316.6800000002</v>
      </c>
      <c r="D21" s="104">
        <f t="shared" si="11"/>
        <v>388533.18367000006</v>
      </c>
      <c r="E21" s="104">
        <f t="shared" si="12"/>
        <v>99708.793669999985</v>
      </c>
      <c r="F21" s="105">
        <v>24720.240729999998</v>
      </c>
      <c r="G21" s="105">
        <v>13678.730440000001</v>
      </c>
      <c r="H21" s="105">
        <v>1399.7494399999996</v>
      </c>
      <c r="I21" s="105">
        <f t="shared" ref="I21:I28" si="16">SUM(J21:K21)</f>
        <v>33404.263039999998</v>
      </c>
      <c r="J21" s="105">
        <v>29680.465499999995</v>
      </c>
      <c r="K21" s="105">
        <v>3723.79754</v>
      </c>
      <c r="L21" s="105">
        <v>26505.810019999997</v>
      </c>
      <c r="M21" s="104">
        <f>SUM(N21:R21)</f>
        <v>288824.39000000007</v>
      </c>
      <c r="N21" s="104">
        <v>116084.80000000006</v>
      </c>
      <c r="O21" s="104">
        <v>106606.37</v>
      </c>
      <c r="P21" s="104">
        <v>11006.16</v>
      </c>
      <c r="Q21" s="104">
        <v>18650</v>
      </c>
      <c r="R21" s="104">
        <v>36477.060000000005</v>
      </c>
      <c r="S21" s="131">
        <f>SUM(T21:X21)</f>
        <v>649809.72</v>
      </c>
      <c r="T21" s="104">
        <v>545640.72</v>
      </c>
      <c r="U21" s="104">
        <v>49523.360000000001</v>
      </c>
      <c r="V21" s="104">
        <v>2746.76</v>
      </c>
      <c r="W21" s="104">
        <v>3900</v>
      </c>
      <c r="X21" s="104">
        <v>47998.879999999997</v>
      </c>
      <c r="Y21" s="131">
        <f>SUM(Z21:AD21)</f>
        <v>165682.57</v>
      </c>
      <c r="Z21" s="104">
        <v>130077.51</v>
      </c>
      <c r="AA21" s="104">
        <v>23006.18</v>
      </c>
      <c r="AB21" s="104">
        <v>1098.8800000000001</v>
      </c>
      <c r="AC21" s="104">
        <v>11500</v>
      </c>
      <c r="AD21" s="104"/>
    </row>
    <row r="22" spans="1:30" s="106" customFormat="1" x14ac:dyDescent="0.25">
      <c r="A22" s="151"/>
      <c r="B22" s="103" t="str">
        <f>IF(L!$A$1=1,L!B143,IF(L!$A$1=2,L!C143,L!D143))</f>
        <v>2016 Prill</v>
      </c>
      <c r="C22" s="131">
        <f t="shared" si="6"/>
        <v>1137460.9099999999</v>
      </c>
      <c r="D22" s="104">
        <f t="shared" si="11"/>
        <v>355988.76280999999</v>
      </c>
      <c r="E22" s="104">
        <f t="shared" si="12"/>
        <v>80556.102809999982</v>
      </c>
      <c r="F22" s="105">
        <v>24601.525609999997</v>
      </c>
      <c r="G22" s="105">
        <v>10184.289710000001</v>
      </c>
      <c r="H22" s="105">
        <v>1778.5594200000005</v>
      </c>
      <c r="I22" s="105">
        <f t="shared" si="16"/>
        <v>30114.173880000002</v>
      </c>
      <c r="J22" s="105">
        <v>23332.296700000003</v>
      </c>
      <c r="K22" s="105">
        <v>6781.8771800000004</v>
      </c>
      <c r="L22" s="105">
        <v>13877.554190000003</v>
      </c>
      <c r="M22" s="104">
        <f t="shared" si="13"/>
        <v>275432.66000000003</v>
      </c>
      <c r="N22" s="104">
        <v>115348.40000000005</v>
      </c>
      <c r="O22" s="104">
        <v>33720.33</v>
      </c>
      <c r="P22" s="104">
        <v>13778.32</v>
      </c>
      <c r="Q22" s="104">
        <v>21660</v>
      </c>
      <c r="R22" s="104">
        <v>90925.609999999986</v>
      </c>
      <c r="S22" s="131">
        <f t="shared" ref="S22:S30" si="17">SUM(T22:X22)</f>
        <v>680365.04999999993</v>
      </c>
      <c r="T22" s="104">
        <v>550721.71</v>
      </c>
      <c r="U22" s="104">
        <v>47110.71</v>
      </c>
      <c r="V22" s="104">
        <v>9839.89</v>
      </c>
      <c r="W22" s="104">
        <v>4130</v>
      </c>
      <c r="X22" s="104">
        <v>68562.740000000005</v>
      </c>
      <c r="Y22" s="131">
        <f t="shared" ref="Y22:Y30" si="18">SUM(Z22:AD22)</f>
        <v>181663.2</v>
      </c>
      <c r="Z22" s="104">
        <v>125348.78</v>
      </c>
      <c r="AA22" s="104">
        <v>15580.77</v>
      </c>
      <c r="AB22" s="104">
        <v>5591.54</v>
      </c>
      <c r="AC22" s="104">
        <v>21550</v>
      </c>
      <c r="AD22" s="104">
        <v>13592.11</v>
      </c>
    </row>
    <row r="23" spans="1:30" s="106" customFormat="1" x14ac:dyDescent="0.25">
      <c r="A23" s="151"/>
      <c r="B23" s="103" t="str">
        <f>IF(L!$A$1=1,L!B144,IF(L!$A$1=2,L!C144,L!D144))</f>
        <v>2016 Maj</v>
      </c>
      <c r="C23" s="131">
        <f t="shared" si="6"/>
        <v>1573142.92</v>
      </c>
      <c r="D23" s="104">
        <f t="shared" si="11"/>
        <v>821553.5316300001</v>
      </c>
      <c r="E23" s="104">
        <f>F23+G23+H23+I23+L23</f>
        <v>96210.491630000004</v>
      </c>
      <c r="F23" s="105">
        <v>24878.166989999998</v>
      </c>
      <c r="G23" s="105">
        <v>11446.305889999996</v>
      </c>
      <c r="H23" s="105">
        <v>1328.3961899999995</v>
      </c>
      <c r="I23" s="105">
        <f t="shared" si="16"/>
        <v>46053.717250000002</v>
      </c>
      <c r="J23" s="105">
        <v>32046.268810000001</v>
      </c>
      <c r="K23" s="105">
        <v>14007.448439999998</v>
      </c>
      <c r="L23" s="105">
        <v>12503.905309999995</v>
      </c>
      <c r="M23" s="104">
        <f t="shared" si="13"/>
        <v>725343.04</v>
      </c>
      <c r="N23" s="104">
        <v>116300.17</v>
      </c>
      <c r="O23" s="104">
        <v>54595.37000000001</v>
      </c>
      <c r="P23" s="104">
        <v>8235.0300000000025</v>
      </c>
      <c r="Q23" s="104">
        <v>7360</v>
      </c>
      <c r="R23" s="104">
        <v>538852.47</v>
      </c>
      <c r="S23" s="131">
        <f t="shared" si="17"/>
        <v>699764.90999999992</v>
      </c>
      <c r="T23" s="104">
        <v>549442.72</v>
      </c>
      <c r="U23" s="104">
        <v>49180.46</v>
      </c>
      <c r="V23" s="104">
        <v>4715.05</v>
      </c>
      <c r="W23" s="104">
        <v>15030</v>
      </c>
      <c r="X23" s="104">
        <v>81396.679999999993</v>
      </c>
      <c r="Y23" s="131">
        <f t="shared" si="18"/>
        <v>148034.97</v>
      </c>
      <c r="Z23" s="104">
        <v>125107.83</v>
      </c>
      <c r="AA23" s="104">
        <v>15041.02</v>
      </c>
      <c r="AB23" s="104">
        <v>2736.12</v>
      </c>
      <c r="AC23" s="104">
        <v>5150</v>
      </c>
      <c r="AD23" s="104"/>
    </row>
    <row r="24" spans="1:30" s="106" customFormat="1" x14ac:dyDescent="0.25">
      <c r="A24" s="151"/>
      <c r="B24" s="103" t="str">
        <f>IF(L!$A$1=1,L!B145,IF(L!$A$1=2,L!C145,L!D145))</f>
        <v>2016 Qershor</v>
      </c>
      <c r="C24" s="131">
        <f t="shared" si="6"/>
        <v>1258418.4899999998</v>
      </c>
      <c r="D24" s="104">
        <f t="shared" si="11"/>
        <v>516857.89695999993</v>
      </c>
      <c r="E24" s="104">
        <f t="shared" si="12"/>
        <v>106621.02696000002</v>
      </c>
      <c r="F24" s="105">
        <v>25271.218699999998</v>
      </c>
      <c r="G24" s="105">
        <v>10225.551030000002</v>
      </c>
      <c r="H24" s="105">
        <v>690.89161000000058</v>
      </c>
      <c r="I24" s="105">
        <f t="shared" si="16"/>
        <v>33681.467220000006</v>
      </c>
      <c r="J24" s="105">
        <v>30125.299699999992</v>
      </c>
      <c r="K24" s="105">
        <v>3556.16752000001</v>
      </c>
      <c r="L24" s="105">
        <v>36751.898400000005</v>
      </c>
      <c r="M24" s="104">
        <f t="shared" si="13"/>
        <v>410236.86999999988</v>
      </c>
      <c r="N24" s="104">
        <v>116162.89999999994</v>
      </c>
      <c r="O24" s="104">
        <v>37534.700000000004</v>
      </c>
      <c r="P24" s="104">
        <v>5171.68</v>
      </c>
      <c r="Q24" s="104">
        <v>3685</v>
      </c>
      <c r="R24" s="104">
        <v>247682.58999999997</v>
      </c>
      <c r="S24" s="131">
        <f t="shared" si="17"/>
        <v>679159.48</v>
      </c>
      <c r="T24" s="104">
        <v>548187.81000000006</v>
      </c>
      <c r="U24" s="104">
        <v>43540.22</v>
      </c>
      <c r="V24" s="104">
        <v>4188.49</v>
      </c>
      <c r="W24" s="104">
        <v>100</v>
      </c>
      <c r="X24" s="104">
        <v>83142.960000000006</v>
      </c>
      <c r="Y24" s="131">
        <f t="shared" si="18"/>
        <v>169022.14</v>
      </c>
      <c r="Z24" s="104">
        <v>127299.16</v>
      </c>
      <c r="AA24" s="104">
        <v>14525.32</v>
      </c>
      <c r="AB24" s="104">
        <v>2346.17</v>
      </c>
      <c r="AC24" s="104">
        <v>4500</v>
      </c>
      <c r="AD24" s="104">
        <v>20351.490000000002</v>
      </c>
    </row>
    <row r="25" spans="1:30" s="106" customFormat="1" x14ac:dyDescent="0.25">
      <c r="A25" s="151"/>
      <c r="B25" s="103" t="str">
        <f>IF(L!$A$1=1,L!B146,IF(L!$A$1=2,L!C146,L!D146))</f>
        <v>2016 Korrik</v>
      </c>
      <c r="C25" s="131">
        <f t="shared" si="6"/>
        <v>1336480.71</v>
      </c>
      <c r="D25" s="104">
        <f t="shared" si="11"/>
        <v>529887.34849999996</v>
      </c>
      <c r="E25" s="104">
        <f t="shared" si="12"/>
        <v>77503.858500000002</v>
      </c>
      <c r="F25" s="105">
        <v>25432.487959999999</v>
      </c>
      <c r="G25" s="105">
        <v>9133.7539199999992</v>
      </c>
      <c r="H25" s="105">
        <v>837.02014999999903</v>
      </c>
      <c r="I25" s="105">
        <f>SUM(J25:K25)</f>
        <v>33199.534520000001</v>
      </c>
      <c r="J25" s="105">
        <v>30380.615050000004</v>
      </c>
      <c r="K25" s="105">
        <v>2818.9194700000003</v>
      </c>
      <c r="L25" s="105">
        <v>8901.061950000003</v>
      </c>
      <c r="M25" s="104">
        <f t="shared" si="13"/>
        <v>452383.49</v>
      </c>
      <c r="N25" s="104">
        <v>115440.58000000002</v>
      </c>
      <c r="O25" s="104">
        <v>46875.28</v>
      </c>
      <c r="P25" s="104">
        <v>271.42999999999984</v>
      </c>
      <c r="Q25" s="104">
        <v>10744.88</v>
      </c>
      <c r="R25" s="104">
        <v>279051.31999999995</v>
      </c>
      <c r="S25" s="131">
        <f t="shared" si="17"/>
        <v>725927.3899999999</v>
      </c>
      <c r="T25" s="104">
        <v>543598.99</v>
      </c>
      <c r="U25" s="104">
        <v>110271.83</v>
      </c>
      <c r="V25" s="104">
        <v>2382.23</v>
      </c>
      <c r="W25" s="104">
        <v>980</v>
      </c>
      <c r="X25" s="104">
        <v>68694.34</v>
      </c>
      <c r="Y25" s="131">
        <f t="shared" si="18"/>
        <v>158169.83000000002</v>
      </c>
      <c r="Z25" s="104">
        <v>125737.69</v>
      </c>
      <c r="AA25" s="104">
        <v>18567.39</v>
      </c>
      <c r="AB25" s="104">
        <v>2610.75</v>
      </c>
      <c r="AC25" s="104">
        <v>1350</v>
      </c>
      <c r="AD25" s="104">
        <v>9904</v>
      </c>
    </row>
    <row r="26" spans="1:30" s="106" customFormat="1" x14ac:dyDescent="0.25">
      <c r="A26" s="151"/>
      <c r="B26" s="103" t="str">
        <f>IF(L!$A$1=1,L!B147,IF(L!$A$1=2,L!C147,L!D147))</f>
        <v>2016 Gusht</v>
      </c>
      <c r="C26" s="131">
        <f t="shared" si="6"/>
        <v>1135277.94</v>
      </c>
      <c r="D26" s="104">
        <f t="shared" si="11"/>
        <v>475201.19613</v>
      </c>
      <c r="E26" s="104">
        <f t="shared" si="12"/>
        <v>107136.83613</v>
      </c>
      <c r="F26" s="105">
        <v>23566.790400000002</v>
      </c>
      <c r="G26" s="105">
        <v>11400.07127</v>
      </c>
      <c r="H26" s="105">
        <v>835.55675999999949</v>
      </c>
      <c r="I26" s="105">
        <f>SUM(J26:K26)</f>
        <v>41658.747380000001</v>
      </c>
      <c r="J26" s="105">
        <v>31113.987209999999</v>
      </c>
      <c r="K26" s="105">
        <v>10544.760170000005</v>
      </c>
      <c r="L26" s="105">
        <v>29675.67031999999</v>
      </c>
      <c r="M26" s="104">
        <f t="shared" si="13"/>
        <v>368064.36</v>
      </c>
      <c r="N26" s="104">
        <v>173481.8</v>
      </c>
      <c r="O26" s="104">
        <v>67930.94</v>
      </c>
      <c r="P26" s="104">
        <v>13280.74</v>
      </c>
      <c r="Q26" s="104">
        <v>6270</v>
      </c>
      <c r="R26" s="104">
        <v>107100.88</v>
      </c>
      <c r="S26" s="131">
        <f t="shared" si="17"/>
        <v>604477.6</v>
      </c>
      <c r="T26" s="104">
        <v>541772.63</v>
      </c>
      <c r="U26" s="104">
        <v>32486.16</v>
      </c>
      <c r="V26" s="104">
        <v>9897.82</v>
      </c>
      <c r="W26" s="104">
        <v>350</v>
      </c>
      <c r="X26" s="104">
        <v>19970.990000000002</v>
      </c>
      <c r="Y26" s="131">
        <f t="shared" si="18"/>
        <v>162735.98000000001</v>
      </c>
      <c r="Z26" s="104">
        <v>125637.44</v>
      </c>
      <c r="AA26" s="104">
        <v>9512.6200000000008</v>
      </c>
      <c r="AB26" s="104">
        <v>180.63</v>
      </c>
      <c r="AC26" s="104">
        <v>17050</v>
      </c>
      <c r="AD26" s="104">
        <v>10355.290000000001</v>
      </c>
    </row>
    <row r="27" spans="1:30" s="106" customFormat="1" x14ac:dyDescent="0.25">
      <c r="A27" s="151"/>
      <c r="B27" s="103" t="str">
        <f>IF(L!$A$1=1,L!B148,IF(L!$A$1=2,L!C148,L!D148))</f>
        <v>2016 Shtator</v>
      </c>
      <c r="C27" s="131">
        <f t="shared" si="6"/>
        <v>1118817.8399999999</v>
      </c>
      <c r="D27" s="104">
        <f t="shared" si="11"/>
        <v>390169.11169000005</v>
      </c>
      <c r="E27" s="104">
        <f t="shared" si="12"/>
        <v>102608.17169000002</v>
      </c>
      <c r="F27" s="111">
        <v>24413.5016</v>
      </c>
      <c r="G27" s="105">
        <v>9143.6204099999995</v>
      </c>
      <c r="H27" s="105">
        <v>716.30253000000005</v>
      </c>
      <c r="I27" s="105">
        <f t="shared" si="16"/>
        <v>31982.503360000002</v>
      </c>
      <c r="J27" s="105">
        <v>26178.25172</v>
      </c>
      <c r="K27" s="105">
        <v>5804.2516400000004</v>
      </c>
      <c r="L27" s="105">
        <v>36352.24379</v>
      </c>
      <c r="M27" s="104">
        <f t="shared" si="13"/>
        <v>287560.94</v>
      </c>
      <c r="N27" s="104">
        <v>114647.78</v>
      </c>
      <c r="O27" s="104">
        <v>28873.909999999989</v>
      </c>
      <c r="P27" s="104">
        <v>3588.63</v>
      </c>
      <c r="Q27" s="104">
        <v>1540</v>
      </c>
      <c r="R27" s="104">
        <v>138910.62</v>
      </c>
      <c r="S27" s="131">
        <f t="shared" si="17"/>
        <v>670901.98</v>
      </c>
      <c r="T27" s="104">
        <v>542258.36</v>
      </c>
      <c r="U27" s="104">
        <v>57033.75</v>
      </c>
      <c r="V27" s="104">
        <v>2258.39</v>
      </c>
      <c r="W27" s="104"/>
      <c r="X27" s="104">
        <v>69351.48</v>
      </c>
      <c r="Y27" s="131">
        <f t="shared" si="18"/>
        <v>160354.91999999998</v>
      </c>
      <c r="Z27" s="104">
        <v>124744.97</v>
      </c>
      <c r="AA27" s="104">
        <v>26047.33</v>
      </c>
      <c r="AB27" s="104">
        <v>4062.62</v>
      </c>
      <c r="AC27" s="104">
        <v>5500</v>
      </c>
      <c r="AD27" s="104"/>
    </row>
    <row r="28" spans="1:30" s="106" customFormat="1" x14ac:dyDescent="0.25">
      <c r="A28" s="152"/>
      <c r="B28" s="103" t="str">
        <f>IF(L!$A$1=1,L!B149,IF(L!$A$1=2,L!C149,L!D149))</f>
        <v>2016 Tetor</v>
      </c>
      <c r="C28" s="131">
        <f t="shared" si="6"/>
        <v>1091941.1400000001</v>
      </c>
      <c r="D28" s="104">
        <f t="shared" si="11"/>
        <v>448647.04061000008</v>
      </c>
      <c r="E28" s="104">
        <f t="shared" si="12"/>
        <v>129142.13060999999</v>
      </c>
      <c r="F28" s="125">
        <v>24685.05791</v>
      </c>
      <c r="G28" s="126">
        <v>11524.12997</v>
      </c>
      <c r="H28" s="125">
        <v>814.78802999999903</v>
      </c>
      <c r="I28" s="105">
        <f t="shared" si="16"/>
        <v>47301.574959999998</v>
      </c>
      <c r="J28" s="125">
        <v>32216.383320000001</v>
      </c>
      <c r="K28" s="125">
        <v>15085.191639999999</v>
      </c>
      <c r="L28" s="125">
        <v>44816.579740000001</v>
      </c>
      <c r="M28" s="104">
        <f t="shared" si="13"/>
        <v>319504.91000000009</v>
      </c>
      <c r="N28" s="127">
        <v>115874.43000000008</v>
      </c>
      <c r="O28" s="127">
        <v>40826.100000000006</v>
      </c>
      <c r="P28" s="127">
        <v>1281.0099999999991</v>
      </c>
      <c r="Q28" s="127">
        <v>1600</v>
      </c>
      <c r="R28" s="127">
        <v>159923.37</v>
      </c>
      <c r="S28" s="131">
        <f t="shared" si="17"/>
        <v>624868.43999999994</v>
      </c>
      <c r="T28" s="127">
        <v>542087.09</v>
      </c>
      <c r="U28" s="127">
        <v>45247.03</v>
      </c>
      <c r="V28" s="127">
        <v>8058.46</v>
      </c>
      <c r="W28" s="104">
        <v>200</v>
      </c>
      <c r="X28" s="127">
        <v>29275.86</v>
      </c>
      <c r="Y28" s="131">
        <f t="shared" si="18"/>
        <v>147567.78999999998</v>
      </c>
      <c r="Z28" s="127">
        <v>125303.66</v>
      </c>
      <c r="AA28" s="127">
        <v>16440.64</v>
      </c>
      <c r="AB28" s="127">
        <v>2023.49</v>
      </c>
      <c r="AC28" s="127">
        <v>3800</v>
      </c>
      <c r="AD28" s="127"/>
    </row>
    <row r="29" spans="1:30" s="106" customFormat="1" x14ac:dyDescent="0.25">
      <c r="A29" s="152"/>
      <c r="B29" s="103" t="str">
        <f>IF(L!$A$1=1,L!B150,IF(L!$A$1=2,L!C150,L!D150))</f>
        <v xml:space="preserve">2016 Nëntor </v>
      </c>
      <c r="C29" s="131">
        <f t="shared" si="6"/>
        <v>1277819.6399999999</v>
      </c>
      <c r="D29" s="104">
        <f t="shared" si="11"/>
        <v>617059.08975000004</v>
      </c>
      <c r="E29" s="104">
        <f t="shared" si="12"/>
        <v>123382.86975000001</v>
      </c>
      <c r="F29" s="125">
        <v>24827.598859999998</v>
      </c>
      <c r="G29" s="126">
        <f>13301.19593</f>
        <v>13301.19593</v>
      </c>
      <c r="H29" s="125">
        <v>1056.7588800000001</v>
      </c>
      <c r="I29" s="105">
        <f t="shared" ref="I29:I35" si="19">SUM(J29:K29)</f>
        <v>42062.473770000004</v>
      </c>
      <c r="J29" s="125">
        <v>32919.262710000003</v>
      </c>
      <c r="K29" s="125">
        <v>9143.2110599999996</v>
      </c>
      <c r="L29" s="125">
        <v>42134.84231</v>
      </c>
      <c r="M29" s="104">
        <f t="shared" si="13"/>
        <v>493676.22</v>
      </c>
      <c r="N29" s="127">
        <v>119170.33000000002</v>
      </c>
      <c r="O29" s="127">
        <v>61333.919999999998</v>
      </c>
      <c r="P29" s="127">
        <v>10168.029999999999</v>
      </c>
      <c r="Q29" s="127">
        <v>4870</v>
      </c>
      <c r="R29" s="127">
        <v>298133.94</v>
      </c>
      <c r="S29" s="131">
        <f t="shared" si="17"/>
        <v>626183.42999999993</v>
      </c>
      <c r="T29" s="127">
        <v>549402.63</v>
      </c>
      <c r="U29" s="127">
        <v>48205.33</v>
      </c>
      <c r="V29" s="127">
        <v>8094.99</v>
      </c>
      <c r="W29" s="127"/>
      <c r="X29" s="127">
        <v>20480.48</v>
      </c>
      <c r="Y29" s="131">
        <f t="shared" si="18"/>
        <v>157959.99</v>
      </c>
      <c r="Z29" s="127">
        <v>126015.67999999999</v>
      </c>
      <c r="AA29" s="127">
        <v>28700.16</v>
      </c>
      <c r="AB29" s="127">
        <v>3244.15</v>
      </c>
      <c r="AC29" s="127"/>
      <c r="AD29" s="127"/>
    </row>
    <row r="30" spans="1:30" s="106" customFormat="1" x14ac:dyDescent="0.25">
      <c r="A30" s="152"/>
      <c r="B30" s="103" t="str">
        <f>IF(L!$A$1=1,L!B151,IF(L!$A$1=2,L!C151,L!D151))</f>
        <v>2016 Dhjetor</v>
      </c>
      <c r="C30" s="131">
        <f t="shared" si="6"/>
        <v>1872753.24</v>
      </c>
      <c r="D30" s="104">
        <f t="shared" si="11"/>
        <v>1156836.7229649997</v>
      </c>
      <c r="E30" s="104">
        <f t="shared" si="12"/>
        <v>192106.75296499973</v>
      </c>
      <c r="F30" s="125">
        <f>25175.0214299999-0.08701</f>
        <v>25174.9344199999</v>
      </c>
      <c r="G30" s="126">
        <f>27499.20706</f>
        <v>27499.207060000001</v>
      </c>
      <c r="H30" s="125">
        <v>2033.351735</v>
      </c>
      <c r="I30" s="105">
        <f t="shared" si="19"/>
        <v>61799.542269999904</v>
      </c>
      <c r="J30" s="125">
        <v>34556.249000000003</v>
      </c>
      <c r="K30" s="125">
        <v>27243.2932699999</v>
      </c>
      <c r="L30" s="125">
        <v>75599.717479999934</v>
      </c>
      <c r="M30" s="104">
        <f t="shared" si="13"/>
        <v>964729.97000000009</v>
      </c>
      <c r="N30" s="127">
        <v>116032.30000000002</v>
      </c>
      <c r="O30" s="127">
        <v>88836.909999999974</v>
      </c>
      <c r="P30" s="127">
        <v>9634.44</v>
      </c>
      <c r="Q30" s="127">
        <v>1040</v>
      </c>
      <c r="R30" s="127">
        <v>749186.32000000007</v>
      </c>
      <c r="S30" s="131">
        <f t="shared" si="17"/>
        <v>612566.54999999993</v>
      </c>
      <c r="T30" s="127">
        <v>547784.14</v>
      </c>
      <c r="U30" s="127">
        <v>30644.61</v>
      </c>
      <c r="V30" s="127">
        <v>13834.98</v>
      </c>
      <c r="W30" s="127">
        <v>7668</v>
      </c>
      <c r="X30" s="127">
        <v>12634.82</v>
      </c>
      <c r="Y30" s="131">
        <f t="shared" si="18"/>
        <v>295456.71999999997</v>
      </c>
      <c r="Z30" s="127">
        <v>132807.97</v>
      </c>
      <c r="AA30" s="127">
        <v>58270.82</v>
      </c>
      <c r="AB30" s="127">
        <v>7615.99</v>
      </c>
      <c r="AC30" s="127">
        <v>5500</v>
      </c>
      <c r="AD30" s="127">
        <v>91261.94</v>
      </c>
    </row>
    <row r="31" spans="1:30" s="107" customFormat="1" x14ac:dyDescent="0.25">
      <c r="A31" s="153"/>
      <c r="B31" s="122" t="str">
        <f>IF(L!$A$1=1,L!B152,IF(L!$A$1=2,L!C152,L!D152))</f>
        <v>Gjithsej 2016</v>
      </c>
      <c r="C31" s="123">
        <f t="shared" si="6"/>
        <v>14912759.689999998</v>
      </c>
      <c r="D31" s="123">
        <f>E31+M31</f>
        <v>6404282.0658250004</v>
      </c>
      <c r="E31" s="123">
        <f t="shared" ref="E31" si="20">F31+G31+H31+I31+L31</f>
        <v>1258002.6658249996</v>
      </c>
      <c r="F31" s="123">
        <f>SUM(F19:F30)</f>
        <v>297091.0241499999</v>
      </c>
      <c r="G31" s="121">
        <f>SUM(G19:G30)</f>
        <v>140920.32731999998</v>
      </c>
      <c r="H31" s="121">
        <f>SUM(H19:H30)</f>
        <v>14222.454374999999</v>
      </c>
      <c r="I31" s="121">
        <f t="shared" si="19"/>
        <v>465825.41701999994</v>
      </c>
      <c r="J31" s="121">
        <f>SUM(J19:J30)</f>
        <v>356414.95302000002</v>
      </c>
      <c r="K31" s="121">
        <f>SUM(K19:K30)</f>
        <v>109410.46399999992</v>
      </c>
      <c r="L31" s="121">
        <f>SUM(L19:L30)</f>
        <v>339943.4429599999</v>
      </c>
      <c r="M31" s="121">
        <f>SUM(N31:R31)</f>
        <v>5146279.4000000004</v>
      </c>
      <c r="N31" s="121">
        <f>SUM(N19:N30)</f>
        <v>1449524.3900000004</v>
      </c>
      <c r="O31" s="121">
        <f t="shared" ref="O31:R31" si="21">SUM(O19:O30)</f>
        <v>628005.48</v>
      </c>
      <c r="P31" s="121">
        <f t="shared" si="21"/>
        <v>100266.87000000001</v>
      </c>
      <c r="Q31" s="121">
        <f t="shared" si="21"/>
        <v>79619.88</v>
      </c>
      <c r="R31" s="121">
        <f t="shared" si="21"/>
        <v>2888862.7800000003</v>
      </c>
      <c r="S31" s="121">
        <f>SUM(T31:X31)</f>
        <v>7746464.6799999988</v>
      </c>
      <c r="T31" s="121">
        <f>SUM(T19:T30)</f>
        <v>6550918.3999999994</v>
      </c>
      <c r="U31" s="121">
        <f t="shared" ref="U31:X31" si="22">SUM(U19:U30)</f>
        <v>578284.21</v>
      </c>
      <c r="V31" s="121">
        <f t="shared" si="22"/>
        <v>81694.84</v>
      </c>
      <c r="W31" s="121">
        <f>SUM(W19:W30)</f>
        <v>34058</v>
      </c>
      <c r="X31" s="121">
        <f t="shared" si="22"/>
        <v>501509.22999999992</v>
      </c>
      <c r="Y31" s="121">
        <f>SUM(Z31:AD31)</f>
        <v>2020015.6099999996</v>
      </c>
      <c r="Z31" s="121">
        <f>SUM(Z19:Z30)</f>
        <v>1519735.6599999997</v>
      </c>
      <c r="AA31" s="121">
        <f t="shared" ref="AA31:AD31" si="23">SUM(AA19:AA30)</f>
        <v>238653.38999999998</v>
      </c>
      <c r="AB31" s="121">
        <f t="shared" si="23"/>
        <v>39261.730000000003</v>
      </c>
      <c r="AC31" s="121">
        <f t="shared" si="23"/>
        <v>76900</v>
      </c>
      <c r="AD31" s="121">
        <f t="shared" si="23"/>
        <v>145464.83000000002</v>
      </c>
    </row>
    <row r="32" spans="1:30" s="106" customFormat="1" x14ac:dyDescent="0.25">
      <c r="A32" s="151">
        <v>2017</v>
      </c>
      <c r="B32" s="103" t="str">
        <f>IF(L!$A$1=1,L!B153,IF(L!$A$1=2,L!C153,L!D153))</f>
        <v>2017 Janar</v>
      </c>
      <c r="C32" s="131">
        <f t="shared" si="6"/>
        <v>784664.16</v>
      </c>
      <c r="D32" s="104">
        <f>E32+M32</f>
        <v>173476.92920999997</v>
      </c>
      <c r="E32" s="104">
        <f>F32+G32+H32+I32+L32</f>
        <v>57713.659209999998</v>
      </c>
      <c r="F32" s="104">
        <v>24846.235489999999</v>
      </c>
      <c r="G32" s="104">
        <v>1301.9379300000001</v>
      </c>
      <c r="H32" s="104">
        <v>469.39997</v>
      </c>
      <c r="I32" s="105">
        <f t="shared" si="19"/>
        <v>30409.931329999999</v>
      </c>
      <c r="J32" s="104">
        <v>27498.698</v>
      </c>
      <c r="K32" s="104">
        <v>2911.23333</v>
      </c>
      <c r="L32" s="104">
        <v>686.15449000000001</v>
      </c>
      <c r="M32" s="104">
        <f t="shared" si="13"/>
        <v>115763.26999999999</v>
      </c>
      <c r="N32" s="104">
        <v>115763.26999999999</v>
      </c>
      <c r="O32" s="104"/>
      <c r="P32" s="104"/>
      <c r="Q32" s="104"/>
      <c r="R32" s="104"/>
      <c r="S32" s="131">
        <f t="shared" ref="S32:S37" si="24">SUM(T32:X32)</f>
        <v>544734.80000000005</v>
      </c>
      <c r="T32" s="104">
        <v>544734.80000000005</v>
      </c>
      <c r="U32" s="104"/>
      <c r="V32" s="104"/>
      <c r="W32" s="104"/>
      <c r="X32" s="104"/>
      <c r="Y32" s="131">
        <f t="shared" ref="Y32:Y37" si="25">SUM(Z32:AD32)</f>
        <v>124166.09</v>
      </c>
      <c r="Z32" s="104">
        <v>124166.09</v>
      </c>
      <c r="AA32" s="104"/>
      <c r="AB32" s="104"/>
      <c r="AC32" s="104"/>
      <c r="AD32" s="104"/>
    </row>
    <row r="33" spans="1:30" s="106" customFormat="1" x14ac:dyDescent="0.25">
      <c r="A33" s="151"/>
      <c r="B33" s="103" t="str">
        <f>IF(L!$A$1=1,L!B154,IF(L!$A$1=2,L!C154,L!D154))</f>
        <v>2017 Shkurt</v>
      </c>
      <c r="C33" s="131">
        <f t="shared" si="6"/>
        <v>1017544.85</v>
      </c>
      <c r="D33" s="104">
        <f t="shared" ref="D33:D36" si="26">E33+M33</f>
        <v>325519.74055999995</v>
      </c>
      <c r="E33" s="104">
        <f t="shared" ref="E33:E36" si="27">F33+G33+H33+I33+L33</f>
        <v>87018.600559999992</v>
      </c>
      <c r="F33" s="104">
        <v>25348.27275</v>
      </c>
      <c r="G33" s="104">
        <v>12435.78448</v>
      </c>
      <c r="H33" s="104">
        <v>2584.5733500000001</v>
      </c>
      <c r="I33" s="105">
        <f t="shared" si="19"/>
        <v>35523.365980000002</v>
      </c>
      <c r="J33" s="104">
        <v>29987.650020000001</v>
      </c>
      <c r="K33" s="104">
        <v>5535.7159600000005</v>
      </c>
      <c r="L33" s="104">
        <v>11126.603999999999</v>
      </c>
      <c r="M33" s="104">
        <f t="shared" ref="M33:M37" si="28">SUM(N33:R33)</f>
        <v>238501.13999999998</v>
      </c>
      <c r="N33" s="104">
        <v>121903.64999999997</v>
      </c>
      <c r="O33" s="104">
        <v>76945.14</v>
      </c>
      <c r="P33" s="104">
        <v>29207.750000000004</v>
      </c>
      <c r="Q33" s="104">
        <v>2300</v>
      </c>
      <c r="R33" s="104">
        <v>8144.6</v>
      </c>
      <c r="S33" s="131">
        <f t="shared" si="24"/>
        <v>618166.55999999994</v>
      </c>
      <c r="T33" s="104">
        <v>542415.61</v>
      </c>
      <c r="U33" s="104">
        <v>62433</v>
      </c>
      <c r="V33" s="104">
        <v>13317.95</v>
      </c>
      <c r="W33" s="104"/>
      <c r="X33" s="104"/>
      <c r="Y33" s="131">
        <f t="shared" si="25"/>
        <v>160877.15000000002</v>
      </c>
      <c r="Z33" s="104">
        <v>129101.82</v>
      </c>
      <c r="AA33" s="104">
        <v>12514.14</v>
      </c>
      <c r="AB33" s="104">
        <v>6786.19</v>
      </c>
      <c r="AC33" s="104">
        <v>12475</v>
      </c>
      <c r="AD33" s="104"/>
    </row>
    <row r="34" spans="1:30" s="106" customFormat="1" x14ac:dyDescent="0.25">
      <c r="A34" s="151"/>
      <c r="B34" s="103" t="str">
        <f>IF(L!$A$1=1,L!B155,IF(L!$A$1=2,L!C155,L!D155))</f>
        <v xml:space="preserve">2017 Mars </v>
      </c>
      <c r="C34" s="131">
        <f t="shared" si="6"/>
        <v>1001316.5599999999</v>
      </c>
      <c r="D34" s="104">
        <f t="shared" si="26"/>
        <v>282743.24102000002</v>
      </c>
      <c r="E34" s="104">
        <f t="shared" si="27"/>
        <v>110996.73102000001</v>
      </c>
      <c r="F34" s="104">
        <v>24671.084579999999</v>
      </c>
      <c r="G34" s="104">
        <f>13602.18788+3.63797880709171E-12</f>
        <v>13602.187880000003</v>
      </c>
      <c r="H34" s="104">
        <v>1470.13113</v>
      </c>
      <c r="I34" s="105">
        <f t="shared" si="19"/>
        <v>41293.796000000002</v>
      </c>
      <c r="J34" s="104">
        <v>31926.155299999999</v>
      </c>
      <c r="K34" s="104">
        <v>9367.6406999999999</v>
      </c>
      <c r="L34" s="104">
        <v>29959.531429999999</v>
      </c>
      <c r="M34" s="104">
        <f t="shared" si="28"/>
        <v>171746.51</v>
      </c>
      <c r="N34" s="104">
        <v>118284.67000000001</v>
      </c>
      <c r="O34" s="104">
        <v>27935.590000000004</v>
      </c>
      <c r="P34" s="104">
        <v>10426.249999999998</v>
      </c>
      <c r="Q34" s="104">
        <v>15100</v>
      </c>
      <c r="R34" s="104">
        <v>0</v>
      </c>
      <c r="S34" s="131">
        <f t="shared" si="24"/>
        <v>661390.82999999996</v>
      </c>
      <c r="T34" s="104">
        <v>544621.09</v>
      </c>
      <c r="U34" s="104">
        <v>40839.96</v>
      </c>
      <c r="V34" s="104">
        <v>4305.6099999999997</v>
      </c>
      <c r="W34" s="104">
        <v>4000</v>
      </c>
      <c r="X34" s="104">
        <v>67624.17</v>
      </c>
      <c r="Y34" s="131">
        <f t="shared" si="25"/>
        <v>168179.22</v>
      </c>
      <c r="Z34" s="104">
        <v>123412.47</v>
      </c>
      <c r="AA34" s="104">
        <v>28528.67</v>
      </c>
      <c r="AB34" s="104">
        <v>4138.08</v>
      </c>
      <c r="AC34" s="104">
        <v>12100</v>
      </c>
      <c r="AD34" s="104"/>
    </row>
    <row r="35" spans="1:30" s="106" customFormat="1" x14ac:dyDescent="0.25">
      <c r="A35" s="151"/>
      <c r="B35" s="103" t="str">
        <f>IF(L!$A$1=1,L!B156,IF(L!$A$1=2,L!C156,L!D156))</f>
        <v>2017 Prill</v>
      </c>
      <c r="C35" s="131">
        <f t="shared" si="6"/>
        <v>1036246.75</v>
      </c>
      <c r="D35" s="104">
        <f t="shared" si="26"/>
        <v>310934.01502000005</v>
      </c>
      <c r="E35" s="104">
        <f t="shared" si="27"/>
        <v>99928.195020000014</v>
      </c>
      <c r="F35" s="104">
        <v>25058.463449999999</v>
      </c>
      <c r="G35" s="104">
        <v>13938.50973</v>
      </c>
      <c r="H35" s="104">
        <v>1722.8931499999999</v>
      </c>
      <c r="I35" s="105">
        <f t="shared" si="19"/>
        <v>40998.962180000002</v>
      </c>
      <c r="J35" s="104">
        <v>31609.135450000002</v>
      </c>
      <c r="K35" s="104">
        <f>9389.82673</f>
        <v>9389.8267300000007</v>
      </c>
      <c r="L35" s="104">
        <v>18209.36651</v>
      </c>
      <c r="M35" s="104">
        <f t="shared" si="28"/>
        <v>211005.82000000007</v>
      </c>
      <c r="N35" s="104">
        <v>116849.52000000003</v>
      </c>
      <c r="O35" s="104">
        <v>58365.48000000001</v>
      </c>
      <c r="P35" s="104">
        <v>11400.04</v>
      </c>
      <c r="Q35" s="104">
        <v>5793.18</v>
      </c>
      <c r="R35" s="104">
        <v>18597.599999999999</v>
      </c>
      <c r="S35" s="131">
        <f t="shared" si="24"/>
        <v>652351.96</v>
      </c>
      <c r="T35" s="104">
        <v>544686.69999999995</v>
      </c>
      <c r="U35" s="104">
        <v>35698.769999999997</v>
      </c>
      <c r="V35" s="104">
        <v>15675.34</v>
      </c>
      <c r="W35" s="104">
        <v>2500</v>
      </c>
      <c r="X35" s="104">
        <v>53791.15</v>
      </c>
      <c r="Y35" s="131">
        <f t="shared" si="25"/>
        <v>172888.97</v>
      </c>
      <c r="Z35" s="104">
        <v>124185.02</v>
      </c>
      <c r="AA35" s="104">
        <v>26504.720000000001</v>
      </c>
      <c r="AB35" s="104">
        <v>4099.2299999999996</v>
      </c>
      <c r="AC35" s="104">
        <v>18100</v>
      </c>
      <c r="AD35" s="104"/>
    </row>
    <row r="36" spans="1:30" s="106" customFormat="1" x14ac:dyDescent="0.25">
      <c r="A36" s="151"/>
      <c r="B36" s="103" t="str">
        <f>IF(L!$A$1=1,L!B157,IF(L!$A$1=2,L!C157,L!D157))</f>
        <v>2017 Maj</v>
      </c>
      <c r="C36" s="131">
        <f t="shared" si="6"/>
        <v>1198583.3799999999</v>
      </c>
      <c r="D36" s="104">
        <f t="shared" si="26"/>
        <v>553896.69749000005</v>
      </c>
      <c r="E36" s="104">
        <f t="shared" si="27"/>
        <v>108203.85748999999</v>
      </c>
      <c r="F36" s="104">
        <v>25176.423500000001</v>
      </c>
      <c r="G36" s="104">
        <v>14788.43672</v>
      </c>
      <c r="H36" s="104">
        <v>1029.37871</v>
      </c>
      <c r="I36" s="105">
        <f>SUM(J36:K36)</f>
        <v>39702.245540000004</v>
      </c>
      <c r="J36" s="104">
        <v>31959.173699999999</v>
      </c>
      <c r="K36" s="104">
        <f>7742.36933+0.70251</f>
        <v>7743.0718400000005</v>
      </c>
      <c r="L36" s="104">
        <v>27507.373019999999</v>
      </c>
      <c r="M36" s="104">
        <f t="shared" si="28"/>
        <v>445692.84</v>
      </c>
      <c r="N36" s="104">
        <v>118243.12000000004</v>
      </c>
      <c r="O36" s="104">
        <v>40396.07</v>
      </c>
      <c r="P36" s="104">
        <v>7601.88</v>
      </c>
      <c r="Q36" s="104">
        <v>34300</v>
      </c>
      <c r="R36" s="104">
        <v>245151.77</v>
      </c>
      <c r="S36" s="131">
        <f t="shared" si="24"/>
        <v>614416.6</v>
      </c>
      <c r="T36" s="104">
        <v>553670.23</v>
      </c>
      <c r="U36" s="104">
        <v>37140.15</v>
      </c>
      <c r="V36" s="104">
        <v>3077.03</v>
      </c>
      <c r="W36" s="104">
        <v>13522</v>
      </c>
      <c r="X36" s="104">
        <v>7007.19</v>
      </c>
      <c r="Y36" s="131">
        <f t="shared" si="25"/>
        <v>138473.94</v>
      </c>
      <c r="Z36" s="104">
        <v>122584.55</v>
      </c>
      <c r="AA36" s="104">
        <v>12371.75</v>
      </c>
      <c r="AB36" s="104">
        <v>1757.64</v>
      </c>
      <c r="AC36" s="104">
        <v>1760</v>
      </c>
      <c r="AD36" s="104"/>
    </row>
    <row r="37" spans="1:30" s="106" customFormat="1" x14ac:dyDescent="0.25">
      <c r="A37" s="151"/>
      <c r="B37" s="103" t="str">
        <f>IF(L!$A$1=1,L!B158,IF(L!$A$1=2,L!C158,L!D158))</f>
        <v>2017 Qershor</v>
      </c>
      <c r="C37" s="131">
        <f t="shared" si="6"/>
        <v>1299174.78</v>
      </c>
      <c r="D37" s="104">
        <f>E37+M37</f>
        <v>572553.95578000008</v>
      </c>
      <c r="E37" s="104">
        <f>F37+G37+H37+I37+L37</f>
        <v>106702.39577999998</v>
      </c>
      <c r="F37" s="104">
        <v>25102.682019999993</v>
      </c>
      <c r="G37" s="104">
        <v>10844.51352</v>
      </c>
      <c r="H37" s="104">
        <v>772.52707000000009</v>
      </c>
      <c r="I37" s="105">
        <f>SUM(J37:K37)</f>
        <v>39202.052119999978</v>
      </c>
      <c r="J37" s="104">
        <v>32126.547020000002</v>
      </c>
      <c r="K37" s="104">
        <v>7075.5050999999803</v>
      </c>
      <c r="L37" s="104">
        <v>30780.621050000002</v>
      </c>
      <c r="M37" s="104">
        <f t="shared" si="28"/>
        <v>465851.56000000006</v>
      </c>
      <c r="N37" s="104">
        <v>117451.63000000005</v>
      </c>
      <c r="O37" s="104">
        <v>66395.91</v>
      </c>
      <c r="P37" s="104">
        <v>5157.38</v>
      </c>
      <c r="Q37" s="104">
        <v>1600</v>
      </c>
      <c r="R37" s="104">
        <v>275246.64</v>
      </c>
      <c r="S37" s="131">
        <f t="shared" si="24"/>
        <v>666330.25</v>
      </c>
      <c r="T37" s="104">
        <v>557422.86</v>
      </c>
      <c r="U37" s="104">
        <v>34813.54</v>
      </c>
      <c r="V37" s="104">
        <v>1592.12</v>
      </c>
      <c r="W37" s="104">
        <v>8500</v>
      </c>
      <c r="X37" s="104">
        <v>64001.73</v>
      </c>
      <c r="Y37" s="131">
        <f t="shared" si="25"/>
        <v>166992.97</v>
      </c>
      <c r="Z37" s="104">
        <v>125259.42</v>
      </c>
      <c r="AA37" s="104">
        <v>24691.31</v>
      </c>
      <c r="AB37" s="104">
        <v>2682.24</v>
      </c>
      <c r="AC37" s="104">
        <v>14360</v>
      </c>
      <c r="AD37" s="104"/>
    </row>
    <row r="38" spans="1:30" s="106" customFormat="1" x14ac:dyDescent="0.25">
      <c r="A38" s="151"/>
      <c r="B38" s="103" t="str">
        <f>IF(L!$A$1=1,L!B159,IF(L!$A$1=2,L!C159,L!D159))</f>
        <v>2017 Korrik</v>
      </c>
      <c r="C38" s="131">
        <f t="shared" si="6"/>
        <v>1232700.1499999999</v>
      </c>
      <c r="D38" s="104">
        <f>E38+M38</f>
        <v>549837.49738000007</v>
      </c>
      <c r="E38" s="104">
        <f>F38+G38+H38+I38+L38</f>
        <v>109225.46738000003</v>
      </c>
      <c r="F38" s="104">
        <v>24978.209360000001</v>
      </c>
      <c r="G38" s="104">
        <v>11062.969240000006</v>
      </c>
      <c r="H38" s="104">
        <v>935.6237799999999</v>
      </c>
      <c r="I38" s="105">
        <f>SUM(J38:K38)</f>
        <v>45737.674990000021</v>
      </c>
      <c r="J38" s="104">
        <v>36228.048600000002</v>
      </c>
      <c r="K38" s="104">
        <v>9509.6263900000195</v>
      </c>
      <c r="L38" s="104">
        <v>26510.990009999994</v>
      </c>
      <c r="M38" s="104">
        <f>SUM(N38:R38)</f>
        <v>440612.03</v>
      </c>
      <c r="N38" s="104">
        <v>117163.05000000002</v>
      </c>
      <c r="O38" s="104">
        <v>65119.979999999996</v>
      </c>
      <c r="P38" s="104">
        <v>6846.5</v>
      </c>
      <c r="Q38" s="104">
        <v>2162</v>
      </c>
      <c r="R38" s="104">
        <v>249320.5</v>
      </c>
      <c r="S38" s="131">
        <f>SUM(T38:X38)</f>
        <v>637018.74</v>
      </c>
      <c r="T38" s="104">
        <v>544280.11</v>
      </c>
      <c r="U38" s="104">
        <v>29772.11</v>
      </c>
      <c r="V38" s="104">
        <v>8310.15</v>
      </c>
      <c r="W38" s="104"/>
      <c r="X38" s="104">
        <v>54656.37</v>
      </c>
      <c r="Y38" s="131">
        <f>SUM(Z38:AD38)</f>
        <v>155069.38</v>
      </c>
      <c r="Z38" s="104">
        <v>125028.6</v>
      </c>
      <c r="AA38" s="104">
        <v>20372.310000000001</v>
      </c>
      <c r="AB38" s="104">
        <v>2418.4699999999998</v>
      </c>
      <c r="AC38" s="104">
        <v>7250</v>
      </c>
      <c r="AD38" s="104"/>
    </row>
    <row r="39" spans="1:30" s="106" customFormat="1" x14ac:dyDescent="0.25">
      <c r="A39" s="151"/>
      <c r="B39" s="103" t="str">
        <f>IF(L!$A$1=1,L!B160,IF(L!$A$1=2,L!C160,L!D160))</f>
        <v>2017 Gusht</v>
      </c>
      <c r="C39" s="131">
        <f t="shared" si="6"/>
        <v>1206811.4900000002</v>
      </c>
      <c r="D39" s="104">
        <f>E39+M39</f>
        <v>460303.06390000007</v>
      </c>
      <c r="E39" s="104">
        <f>F39+G39+H39+I39+L39</f>
        <v>106809.34389999999</v>
      </c>
      <c r="F39" s="104">
        <v>24661.182910000003</v>
      </c>
      <c r="G39" s="104">
        <v>11634.678899999999</v>
      </c>
      <c r="H39" s="104">
        <v>785.79655000000093</v>
      </c>
      <c r="I39" s="105">
        <f>SUM(J39:K39)</f>
        <v>36402.685249999995</v>
      </c>
      <c r="J39" s="104">
        <v>27800.572889999999</v>
      </c>
      <c r="K39" s="104">
        <v>8602.1123599999992</v>
      </c>
      <c r="L39" s="104">
        <v>33325.000289999996</v>
      </c>
      <c r="M39" s="104">
        <f>SUM(N39:R39)</f>
        <v>353493.72000000009</v>
      </c>
      <c r="N39" s="104">
        <v>117491.35000000005</v>
      </c>
      <c r="O39" s="104">
        <v>37825.11</v>
      </c>
      <c r="P39" s="104">
        <v>5077.8799999999992</v>
      </c>
      <c r="Q39" s="104">
        <v>5214</v>
      </c>
      <c r="R39" s="104">
        <v>187885.38000000003</v>
      </c>
      <c r="S39" s="131">
        <f>SUM(T39:X39)</f>
        <v>650372.46000000008</v>
      </c>
      <c r="T39" s="104">
        <v>542545.51</v>
      </c>
      <c r="U39" s="104">
        <v>28563.61</v>
      </c>
      <c r="V39" s="104">
        <v>3610.3</v>
      </c>
      <c r="W39" s="104">
        <v>500</v>
      </c>
      <c r="X39" s="104">
        <v>75153.039999999994</v>
      </c>
      <c r="Y39" s="131">
        <f>SUM(Z39:AD39)</f>
        <v>202945.31</v>
      </c>
      <c r="Z39" s="104">
        <v>123874.83</v>
      </c>
      <c r="AA39" s="104">
        <v>20595.86</v>
      </c>
      <c r="AB39" s="104">
        <v>1634.65</v>
      </c>
      <c r="AC39" s="104">
        <v>4500</v>
      </c>
      <c r="AD39" s="104">
        <v>52339.97</v>
      </c>
    </row>
    <row r="40" spans="1:30" s="106" customFormat="1" x14ac:dyDescent="0.25">
      <c r="A40" s="151"/>
      <c r="B40" s="103" t="str">
        <f>IF(L!$A$1=1,L!B161,IF(L!$A$1=2,L!C161,L!D161))</f>
        <v>2017 Shtator</v>
      </c>
      <c r="C40" s="131">
        <f t="shared" si="6"/>
        <v>987086.41999999993</v>
      </c>
      <c r="D40" s="104"/>
      <c r="E40" s="104"/>
      <c r="F40" s="104"/>
      <c r="G40" s="104"/>
      <c r="H40" s="104"/>
      <c r="I40" s="104"/>
      <c r="J40" s="104"/>
      <c r="K40" s="104"/>
      <c r="L40" s="104"/>
      <c r="M40" s="104">
        <f t="shared" ref="M40:M43" si="29">SUM(N40:R40)</f>
        <v>224606.23</v>
      </c>
      <c r="N40" s="104">
        <v>110487.19</v>
      </c>
      <c r="O40" s="104">
        <v>15780.090000000007</v>
      </c>
      <c r="P40" s="104">
        <v>4661.26</v>
      </c>
      <c r="Q40" s="104">
        <v>1250</v>
      </c>
      <c r="R40" s="104">
        <v>92427.69</v>
      </c>
      <c r="S40" s="131">
        <f t="shared" ref="S40:S43" si="30">SUM(T40:X40)</f>
        <v>606730.74</v>
      </c>
      <c r="T40" s="104">
        <v>542941.4</v>
      </c>
      <c r="U40" s="104">
        <v>44604.84</v>
      </c>
      <c r="V40" s="104">
        <v>735.21</v>
      </c>
      <c r="W40" s="104">
        <v>400</v>
      </c>
      <c r="X40" s="104">
        <v>18049.29</v>
      </c>
      <c r="Y40" s="131">
        <f t="shared" ref="Y40:Y43" si="31">SUM(Z40:AD40)</f>
        <v>155749.44999999998</v>
      </c>
      <c r="Z40" s="104">
        <v>124126.06</v>
      </c>
      <c r="AA40" s="104">
        <v>11972.34</v>
      </c>
      <c r="AB40" s="104">
        <v>2531.0500000000002</v>
      </c>
      <c r="AC40" s="104">
        <v>7400</v>
      </c>
      <c r="AD40" s="104">
        <v>9720</v>
      </c>
    </row>
    <row r="41" spans="1:30" s="106" customFormat="1" x14ac:dyDescent="0.25">
      <c r="A41" s="152"/>
      <c r="B41" s="103" t="str">
        <f>IF(L!$A$1=1,L!B162,IF(L!$A$1=2,L!C162,L!D162))</f>
        <v>2017 Tetor</v>
      </c>
      <c r="C41" s="131">
        <f t="shared" si="6"/>
        <v>1640243.0699999998</v>
      </c>
      <c r="D41" s="104"/>
      <c r="E41" s="104"/>
      <c r="F41" s="104"/>
      <c r="G41" s="104"/>
      <c r="H41" s="104"/>
      <c r="I41" s="104"/>
      <c r="J41" s="104"/>
      <c r="K41" s="104"/>
      <c r="L41" s="104"/>
      <c r="M41" s="104">
        <f t="shared" si="29"/>
        <v>745963.86999999988</v>
      </c>
      <c r="N41" s="104">
        <v>117270.75999999995</v>
      </c>
      <c r="O41" s="104">
        <v>28961.669999999991</v>
      </c>
      <c r="P41" s="104">
        <v>4406.07</v>
      </c>
      <c r="Q41" s="104">
        <v>1150</v>
      </c>
      <c r="R41" s="104">
        <v>594175.37</v>
      </c>
      <c r="S41" s="131">
        <f t="shared" si="30"/>
        <v>755716.16</v>
      </c>
      <c r="T41" s="104">
        <v>544584.93000000005</v>
      </c>
      <c r="U41" s="104">
        <v>117417.75</v>
      </c>
      <c r="V41" s="104">
        <v>8516.2199999999993</v>
      </c>
      <c r="W41" s="104">
        <v>600</v>
      </c>
      <c r="X41" s="104">
        <v>84597.26</v>
      </c>
      <c r="Y41" s="131">
        <f t="shared" si="31"/>
        <v>138563.04</v>
      </c>
      <c r="Z41" s="104">
        <v>123910.81</v>
      </c>
      <c r="AA41" s="104">
        <v>13045.79</v>
      </c>
      <c r="AB41" s="104">
        <v>1606.44</v>
      </c>
      <c r="AC41" s="104"/>
      <c r="AD41" s="104"/>
    </row>
    <row r="42" spans="1:30" s="106" customFormat="1" x14ac:dyDescent="0.25">
      <c r="A42" s="152"/>
      <c r="B42" s="103" t="str">
        <f>IF(L!$A$1=1,L!B163,IF(L!$A$1=2,L!C163,L!D163))</f>
        <v xml:space="preserve">2017 Nëntor </v>
      </c>
      <c r="C42" s="131">
        <f t="shared" si="6"/>
        <v>1293464</v>
      </c>
      <c r="D42" s="104"/>
      <c r="E42" s="104"/>
      <c r="F42" s="104"/>
      <c r="G42" s="104"/>
      <c r="H42" s="104"/>
      <c r="I42" s="104"/>
      <c r="J42" s="104"/>
      <c r="K42" s="104"/>
      <c r="L42" s="104"/>
      <c r="M42" s="104">
        <f t="shared" si="29"/>
        <v>425637</v>
      </c>
      <c r="N42" s="104">
        <v>120852</v>
      </c>
      <c r="O42" s="104">
        <v>41794</v>
      </c>
      <c r="P42" s="104">
        <v>12531</v>
      </c>
      <c r="Q42" s="104">
        <v>2500</v>
      </c>
      <c r="R42" s="104">
        <v>247960</v>
      </c>
      <c r="S42" s="131">
        <f t="shared" si="30"/>
        <v>711260</v>
      </c>
      <c r="T42" s="104">
        <v>552932</v>
      </c>
      <c r="U42" s="104">
        <v>82833</v>
      </c>
      <c r="V42" s="104">
        <v>10635</v>
      </c>
      <c r="W42" s="104">
        <v>100</v>
      </c>
      <c r="X42" s="104">
        <v>64760</v>
      </c>
      <c r="Y42" s="131">
        <f t="shared" si="31"/>
        <v>156567</v>
      </c>
      <c r="Z42" s="104">
        <v>108659</v>
      </c>
      <c r="AA42" s="104">
        <v>43646</v>
      </c>
      <c r="AB42" s="104">
        <v>2412</v>
      </c>
      <c r="AC42" s="104">
        <v>1850</v>
      </c>
      <c r="AD42" s="104"/>
    </row>
    <row r="43" spans="1:30" s="106" customFormat="1" x14ac:dyDescent="0.25">
      <c r="A43" s="152"/>
      <c r="B43" s="103" t="str">
        <f>IF(L!$A$1=1,L!B164,IF(L!$A$1=2,L!C164,L!D164))</f>
        <v>2017 Dhjetor</v>
      </c>
      <c r="C43" s="131">
        <f t="shared" si="6"/>
        <v>2214564</v>
      </c>
      <c r="D43" s="104"/>
      <c r="E43" s="104"/>
      <c r="F43" s="104"/>
      <c r="G43" s="104"/>
      <c r="H43" s="104"/>
      <c r="I43" s="104"/>
      <c r="J43" s="104"/>
      <c r="K43" s="104"/>
      <c r="L43" s="104"/>
      <c r="M43" s="104">
        <f t="shared" si="29"/>
        <v>1175358</v>
      </c>
      <c r="N43" s="104">
        <v>94682</v>
      </c>
      <c r="O43" s="104">
        <v>86075</v>
      </c>
      <c r="P43" s="104">
        <v>13029</v>
      </c>
      <c r="Q43" s="104">
        <v>3650</v>
      </c>
      <c r="R43" s="104">
        <v>977922</v>
      </c>
      <c r="S43" s="131">
        <f t="shared" si="30"/>
        <v>865262</v>
      </c>
      <c r="T43" s="104">
        <v>579715</v>
      </c>
      <c r="U43" s="104">
        <v>76274</v>
      </c>
      <c r="V43" s="104">
        <v>14545</v>
      </c>
      <c r="W43" s="104">
        <v>2490</v>
      </c>
      <c r="X43" s="104">
        <v>192238</v>
      </c>
      <c r="Y43" s="131">
        <f t="shared" si="31"/>
        <v>173944</v>
      </c>
      <c r="Z43" s="104">
        <v>114992</v>
      </c>
      <c r="AA43" s="104">
        <v>46892</v>
      </c>
      <c r="AB43" s="104">
        <v>7883</v>
      </c>
      <c r="AC43" s="104"/>
      <c r="AD43" s="104">
        <v>4177</v>
      </c>
    </row>
    <row r="44" spans="1:30" s="107" customFormat="1" x14ac:dyDescent="0.25">
      <c r="A44" s="153"/>
      <c r="B44" s="124" t="str">
        <f>IF(L!$A$1=1,L!B165,IF(L!$A$1=2,L!C165,L!D165))</f>
        <v>Gjithsej 2017</v>
      </c>
      <c r="C44" s="123">
        <f t="shared" si="6"/>
        <v>14912399.609999999</v>
      </c>
      <c r="D44" s="123">
        <f>E44+M44</f>
        <v>5800830.2403600002</v>
      </c>
      <c r="E44" s="123">
        <f>F44+G44+H44+I44+L44</f>
        <v>786598.25035999995</v>
      </c>
      <c r="F44" s="123">
        <f t="shared" ref="F44:L44" si="32">SUM(F32:F43)</f>
        <v>199842.55405999999</v>
      </c>
      <c r="G44" s="123">
        <f t="shared" si="32"/>
        <v>89609.018400000001</v>
      </c>
      <c r="H44" s="123">
        <f t="shared" si="32"/>
        <v>9770.3237100000006</v>
      </c>
      <c r="I44" s="123">
        <f t="shared" si="32"/>
        <v>309270.71338999999</v>
      </c>
      <c r="J44" s="121">
        <f t="shared" si="32"/>
        <v>249135.98098000002</v>
      </c>
      <c r="K44" s="121">
        <f t="shared" si="32"/>
        <v>60134.732409999997</v>
      </c>
      <c r="L44" s="121">
        <f t="shared" si="32"/>
        <v>178105.64079999999</v>
      </c>
      <c r="M44" s="121">
        <f>SUM(N44:R44)</f>
        <v>5014231.99</v>
      </c>
      <c r="N44" s="121">
        <f t="shared" ref="N44:R44" si="33">SUM(N32:N43)</f>
        <v>1386442.2100000002</v>
      </c>
      <c r="O44" s="121">
        <f t="shared" si="33"/>
        <v>545594.04</v>
      </c>
      <c r="P44" s="121">
        <f t="shared" si="33"/>
        <v>110345.00999999998</v>
      </c>
      <c r="Q44" s="121">
        <f t="shared" si="33"/>
        <v>75019.179999999993</v>
      </c>
      <c r="R44" s="121">
        <f t="shared" si="33"/>
        <v>2896831.55</v>
      </c>
      <c r="S44" s="121">
        <f>SUM(T44:X44)</f>
        <v>7983751.1000000006</v>
      </c>
      <c r="T44" s="121">
        <f t="shared" ref="T44:X44" si="34">SUM(T32:T43)</f>
        <v>6594550.2400000002</v>
      </c>
      <c r="U44" s="121">
        <f t="shared" si="34"/>
        <v>590390.73</v>
      </c>
      <c r="V44" s="121">
        <f t="shared" si="34"/>
        <v>84319.930000000008</v>
      </c>
      <c r="W44" s="121">
        <f t="shared" si="34"/>
        <v>32612</v>
      </c>
      <c r="X44" s="121">
        <f t="shared" si="34"/>
        <v>681878.2</v>
      </c>
      <c r="Y44" s="121">
        <f>SUM(Z44:AD44)</f>
        <v>1914416.52</v>
      </c>
      <c r="Z44" s="121">
        <f t="shared" ref="Z44:AD44" si="35">SUM(Z32:Z43)</f>
        <v>1469300.6700000002</v>
      </c>
      <c r="AA44" s="121">
        <f t="shared" si="35"/>
        <v>261134.89</v>
      </c>
      <c r="AB44" s="121">
        <f t="shared" si="35"/>
        <v>37948.99</v>
      </c>
      <c r="AC44" s="121">
        <f t="shared" si="35"/>
        <v>79795</v>
      </c>
      <c r="AD44" s="121">
        <f t="shared" si="35"/>
        <v>66236.97</v>
      </c>
    </row>
    <row r="45" spans="1:30" x14ac:dyDescent="0.25">
      <c r="A45" s="151">
        <v>2018</v>
      </c>
      <c r="B45" s="103" t="str">
        <f>IF(L!$A$1=1,L!B166,IF(L!$A$1=2,L!C166,L!D166))</f>
        <v>2018 Janar</v>
      </c>
      <c r="C45" s="131">
        <f t="shared" ref="C45:C57" si="36">M45+S45+Y45</f>
        <v>861178.74</v>
      </c>
      <c r="D45" s="104">
        <f>E45+M45</f>
        <v>206556.81920999993</v>
      </c>
      <c r="E45" s="104">
        <f>F45+G45+H45+I45+L45</f>
        <v>57713.659209999998</v>
      </c>
      <c r="F45" s="104">
        <v>24846.235489999999</v>
      </c>
      <c r="G45" s="104">
        <v>1301.9379300000001</v>
      </c>
      <c r="H45" s="104">
        <v>469.39997</v>
      </c>
      <c r="I45" s="105">
        <f t="shared" ref="I45:I48" si="37">SUM(J45:K45)</f>
        <v>30409.931329999999</v>
      </c>
      <c r="J45" s="104">
        <v>27498.698</v>
      </c>
      <c r="K45" s="104">
        <v>2911.23333</v>
      </c>
      <c r="L45" s="104">
        <v>686.15449000000001</v>
      </c>
      <c r="M45" s="104">
        <f t="shared" ref="M45:M50" si="38">SUM(N45:R45)</f>
        <v>148843.15999999992</v>
      </c>
      <c r="N45" s="104">
        <f>812877.11-T45-Z45</f>
        <v>120534.39999999994</v>
      </c>
      <c r="O45" s="104">
        <f>9200.87-U45-AA45</f>
        <v>8381.18</v>
      </c>
      <c r="P45" s="104">
        <f>31200.76-V45-AB45</f>
        <v>17927.579999999998</v>
      </c>
      <c r="Q45" s="104">
        <f>7900-W45-AC45</f>
        <v>2000</v>
      </c>
      <c r="R45" s="104"/>
      <c r="S45" s="131">
        <f t="shared" ref="S45:S50" si="39">SUM(T45:X45)</f>
        <v>574250.35000000009</v>
      </c>
      <c r="T45" s="104">
        <v>564481.56000000006</v>
      </c>
      <c r="U45" s="104">
        <v>509.74</v>
      </c>
      <c r="V45" s="104">
        <v>9259.0499999999993</v>
      </c>
      <c r="W45" s="104"/>
      <c r="X45" s="104"/>
      <c r="Y45" s="131">
        <f t="shared" ref="Y45:Y50" si="40">SUM(Z45:AD45)</f>
        <v>138085.22999999998</v>
      </c>
      <c r="Z45" s="104">
        <v>127861.15</v>
      </c>
      <c r="AA45" s="104">
        <v>309.95</v>
      </c>
      <c r="AB45" s="104">
        <v>4014.13</v>
      </c>
      <c r="AC45" s="104">
        <v>5900</v>
      </c>
      <c r="AD45" s="104"/>
    </row>
    <row r="46" spans="1:30" x14ac:dyDescent="0.25">
      <c r="A46" s="151"/>
      <c r="B46" s="103" t="str">
        <f>IF(L!$A$1=1,L!B167,IF(L!$A$1=2,L!C167,L!D167))</f>
        <v>2018 Shkurt</v>
      </c>
      <c r="C46" s="131">
        <f t="shared" si="36"/>
        <v>1091386.3799999999</v>
      </c>
      <c r="D46" s="104">
        <f t="shared" ref="D46:D49" si="41">E46+M46</f>
        <v>366474.41056000005</v>
      </c>
      <c r="E46" s="104">
        <f t="shared" ref="E46:E49" si="42">F46+G46+H46+I46+L46</f>
        <v>87018.600559999992</v>
      </c>
      <c r="F46" s="104">
        <v>25348.27275</v>
      </c>
      <c r="G46" s="104">
        <v>12435.78448</v>
      </c>
      <c r="H46" s="104">
        <v>2584.5733500000001</v>
      </c>
      <c r="I46" s="105">
        <f t="shared" si="37"/>
        <v>35523.365980000002</v>
      </c>
      <c r="J46" s="104">
        <v>29987.650020000001</v>
      </c>
      <c r="K46" s="104">
        <v>5535.7159600000005</v>
      </c>
      <c r="L46" s="104">
        <v>11126.603999999999</v>
      </c>
      <c r="M46" s="104">
        <f t="shared" si="38"/>
        <v>279455.81000000006</v>
      </c>
      <c r="N46" s="104">
        <f>812076.4-T46-Z46</f>
        <v>119845.05000000006</v>
      </c>
      <c r="O46" s="104">
        <f>192826.85-U46-AA46-80</f>
        <v>92684.970000000016</v>
      </c>
      <c r="P46" s="104">
        <f>26508.47-V46-AB46</f>
        <v>14331.130000000001</v>
      </c>
      <c r="Q46" s="104">
        <f>7460-W46-AC46</f>
        <v>0</v>
      </c>
      <c r="R46" s="104">
        <v>52594.66</v>
      </c>
      <c r="S46" s="131">
        <f t="shared" si="39"/>
        <v>657409.58999999985</v>
      </c>
      <c r="T46" s="104">
        <v>563039.96</v>
      </c>
      <c r="U46" s="104">
        <v>83064.179999999993</v>
      </c>
      <c r="V46" s="104">
        <v>6845.45</v>
      </c>
      <c r="W46" s="104">
        <v>4460</v>
      </c>
      <c r="X46" s="104"/>
      <c r="Y46" s="131">
        <f t="shared" si="40"/>
        <v>154520.98000000001</v>
      </c>
      <c r="Z46" s="104">
        <v>129191.39</v>
      </c>
      <c r="AA46" s="104">
        <v>16997.7</v>
      </c>
      <c r="AB46" s="104">
        <v>5331.89</v>
      </c>
      <c r="AC46" s="104">
        <v>3000</v>
      </c>
      <c r="AD46" s="104"/>
    </row>
    <row r="47" spans="1:30" x14ac:dyDescent="0.25">
      <c r="A47" s="151"/>
      <c r="B47" s="103" t="str">
        <f>IF(L!$A$1=1,L!B168,IF(L!$A$1=2,L!C168,L!D168))</f>
        <v xml:space="preserve">2018 Mars </v>
      </c>
      <c r="C47" s="131">
        <f t="shared" si="36"/>
        <v>917888.80999999982</v>
      </c>
      <c r="D47" s="104">
        <f t="shared" si="41"/>
        <v>281158.2410199999</v>
      </c>
      <c r="E47" s="104">
        <f t="shared" si="42"/>
        <v>110996.73102000001</v>
      </c>
      <c r="F47" s="104">
        <v>24671.084579999999</v>
      </c>
      <c r="G47" s="104">
        <f>13602.18788+3.63797880709171E-12</f>
        <v>13602.187880000003</v>
      </c>
      <c r="H47" s="104">
        <v>1470.13113</v>
      </c>
      <c r="I47" s="105">
        <f t="shared" si="37"/>
        <v>41293.796000000002</v>
      </c>
      <c r="J47" s="104">
        <v>31926.155299999999</v>
      </c>
      <c r="K47" s="104">
        <v>9367.6406999999999</v>
      </c>
      <c r="L47" s="104">
        <v>29959.531429999999</v>
      </c>
      <c r="M47" s="104">
        <f t="shared" si="38"/>
        <v>170161.50999999989</v>
      </c>
      <c r="N47" s="104">
        <f>806092.45-T47-Z47</f>
        <v>119668.61999999991</v>
      </c>
      <c r="O47" s="104">
        <f>84669.89-U47-AA47</f>
        <v>42481.87</v>
      </c>
      <c r="P47" s="104">
        <f>15861.47-V47-AB47</f>
        <v>7631.0199999999986</v>
      </c>
      <c r="Q47" s="104">
        <f>11265-W47-AC47</f>
        <v>380</v>
      </c>
      <c r="R47" s="104"/>
      <c r="S47" s="131">
        <f t="shared" si="39"/>
        <v>604432.69999999995</v>
      </c>
      <c r="T47" s="104">
        <v>560890.17000000004</v>
      </c>
      <c r="U47" s="104">
        <v>32481.59</v>
      </c>
      <c r="V47" s="104">
        <v>4725.9399999999996</v>
      </c>
      <c r="W47" s="104">
        <v>6335</v>
      </c>
      <c r="X47" s="104"/>
      <c r="Y47" s="131">
        <f t="shared" si="40"/>
        <v>143294.6</v>
      </c>
      <c r="Z47" s="104">
        <v>125533.66</v>
      </c>
      <c r="AA47" s="104">
        <v>9706.43</v>
      </c>
      <c r="AB47" s="104">
        <v>3504.51</v>
      </c>
      <c r="AC47" s="104">
        <v>4550</v>
      </c>
      <c r="AD47" s="104"/>
    </row>
    <row r="48" spans="1:30" x14ac:dyDescent="0.25">
      <c r="A48" s="151"/>
      <c r="B48" s="103" t="str">
        <f>IF(L!$A$1=1,L!B169,IF(L!$A$1=2,L!C169,L!D169))</f>
        <v>2018 Prill</v>
      </c>
      <c r="C48" s="131">
        <f t="shared" si="36"/>
        <v>1035370.2999999999</v>
      </c>
      <c r="D48" s="104">
        <f t="shared" si="41"/>
        <v>330472.77501999994</v>
      </c>
      <c r="E48" s="104">
        <f t="shared" si="42"/>
        <v>99928.195020000014</v>
      </c>
      <c r="F48" s="104">
        <v>25058.463449999999</v>
      </c>
      <c r="G48" s="104">
        <v>13938.50973</v>
      </c>
      <c r="H48" s="104">
        <v>1722.8931499999999</v>
      </c>
      <c r="I48" s="105">
        <f t="shared" si="37"/>
        <v>40998.962180000002</v>
      </c>
      <c r="J48" s="104">
        <v>31609.135450000002</v>
      </c>
      <c r="K48" s="104">
        <f>9389.82673</f>
        <v>9389.8267300000007</v>
      </c>
      <c r="L48" s="104">
        <v>18209.36651</v>
      </c>
      <c r="M48" s="104">
        <f t="shared" si="38"/>
        <v>230544.57999999996</v>
      </c>
      <c r="N48" s="104">
        <f>807631.98-T48-Z48</f>
        <v>119427.46999999996</v>
      </c>
      <c r="O48" s="104">
        <f>165496.09-U48-AA48</f>
        <v>72314.81</v>
      </c>
      <c r="P48" s="104">
        <f>35432.23-V48-AB48</f>
        <v>19042.300000000003</v>
      </c>
      <c r="Q48" s="104">
        <f>8000-W48-AC48</f>
        <v>950</v>
      </c>
      <c r="R48" s="104">
        <v>18810</v>
      </c>
      <c r="S48" s="131">
        <f t="shared" si="39"/>
        <v>622449.48</v>
      </c>
      <c r="T48" s="104">
        <v>563015.27</v>
      </c>
      <c r="U48" s="104">
        <v>46481.24</v>
      </c>
      <c r="V48" s="104">
        <v>12152.97</v>
      </c>
      <c r="W48" s="104">
        <v>800</v>
      </c>
      <c r="X48" s="104"/>
      <c r="Y48" s="131">
        <f t="shared" si="40"/>
        <v>182376.24</v>
      </c>
      <c r="Z48" s="104">
        <v>125189.24</v>
      </c>
      <c r="AA48" s="104">
        <v>46700.04</v>
      </c>
      <c r="AB48" s="104">
        <v>4236.96</v>
      </c>
      <c r="AC48" s="104">
        <v>6250</v>
      </c>
      <c r="AD48" s="104"/>
    </row>
    <row r="49" spans="1:30" x14ac:dyDescent="0.25">
      <c r="A49" s="151"/>
      <c r="B49" s="103" t="str">
        <f>IF(L!$A$1=1,L!B170,IF(L!$A$1=2,L!C170,L!D170))</f>
        <v>2018 Maj</v>
      </c>
      <c r="C49" s="131">
        <f t="shared" si="36"/>
        <v>1063187.97</v>
      </c>
      <c r="D49" s="104">
        <f t="shared" si="41"/>
        <v>341911.43748999992</v>
      </c>
      <c r="E49" s="104">
        <f t="shared" si="42"/>
        <v>108203.85748999999</v>
      </c>
      <c r="F49" s="104">
        <v>25176.423500000001</v>
      </c>
      <c r="G49" s="104">
        <v>14788.43672</v>
      </c>
      <c r="H49" s="104">
        <v>1029.37871</v>
      </c>
      <c r="I49" s="105">
        <f>SUM(J49:K49)</f>
        <v>39702.245540000004</v>
      </c>
      <c r="J49" s="104">
        <v>31959.173699999999</v>
      </c>
      <c r="K49" s="104">
        <f>7742.36933+0.70251</f>
        <v>7743.0718400000005</v>
      </c>
      <c r="L49" s="104">
        <v>27507.373019999999</v>
      </c>
      <c r="M49" s="104">
        <f t="shared" si="38"/>
        <v>233707.57999999996</v>
      </c>
      <c r="N49" s="104">
        <f>802395.12-T49-Z49</f>
        <v>111800.49999999994</v>
      </c>
      <c r="O49" s="104">
        <f>91332.02-U49-AA49</f>
        <v>47060.950000000004</v>
      </c>
      <c r="P49" s="104">
        <f>16674.16-V49-AB49</f>
        <v>6862.3599999999988</v>
      </c>
      <c r="Q49" s="104">
        <f>9000-W49-AC49</f>
        <v>0</v>
      </c>
      <c r="R49" s="104">
        <f>143786.67-X49-AD49</f>
        <v>67983.770000000019</v>
      </c>
      <c r="S49" s="131">
        <f t="shared" si="39"/>
        <v>678245.93</v>
      </c>
      <c r="T49" s="104">
        <v>561681.43000000005</v>
      </c>
      <c r="U49" s="104">
        <v>35188.720000000001</v>
      </c>
      <c r="V49" s="104">
        <v>6073.88</v>
      </c>
      <c r="W49" s="104">
        <v>800</v>
      </c>
      <c r="X49" s="104">
        <v>74501.899999999994</v>
      </c>
      <c r="Y49" s="131">
        <f t="shared" si="40"/>
        <v>151234.46000000002</v>
      </c>
      <c r="Z49" s="104">
        <v>128913.19</v>
      </c>
      <c r="AA49" s="104">
        <v>9082.35</v>
      </c>
      <c r="AB49" s="104">
        <v>3737.92</v>
      </c>
      <c r="AC49" s="104">
        <v>8200</v>
      </c>
      <c r="AD49" s="104">
        <v>1301</v>
      </c>
    </row>
    <row r="50" spans="1:30" x14ac:dyDescent="0.25">
      <c r="A50" s="151"/>
      <c r="B50" s="103" t="str">
        <f>IF(L!$A$1=1,L!B171,IF(L!$A$1=2,L!C171,L!D171))</f>
        <v>2018 Qershor</v>
      </c>
      <c r="C50" s="131">
        <f t="shared" si="36"/>
        <v>1228079.5399999998</v>
      </c>
      <c r="D50" s="104">
        <f>E50+M50</f>
        <v>563105.16577999992</v>
      </c>
      <c r="E50" s="104">
        <f>F50+G50+H50+I50+L50</f>
        <v>106702.39577999998</v>
      </c>
      <c r="F50" s="104">
        <v>25102.682019999993</v>
      </c>
      <c r="G50" s="104">
        <v>10844.51352</v>
      </c>
      <c r="H50" s="104">
        <v>772.52707000000009</v>
      </c>
      <c r="I50" s="105">
        <f>SUM(J50:K50)</f>
        <v>39202.052119999978</v>
      </c>
      <c r="J50" s="104">
        <v>32126.547020000002</v>
      </c>
      <c r="K50" s="104">
        <v>7075.5050999999803</v>
      </c>
      <c r="L50" s="104">
        <v>30780.621050000002</v>
      </c>
      <c r="M50" s="104">
        <f t="shared" si="38"/>
        <v>456402.76999999996</v>
      </c>
      <c r="N50" s="104">
        <f>817717.97-T50-Z50</f>
        <v>124804.22999999995</v>
      </c>
      <c r="O50" s="104">
        <f>98339.72-U50-AA50</f>
        <v>47366.13</v>
      </c>
      <c r="P50" s="104">
        <f>7663.33-V50-AB50</f>
        <v>4373.8899999999994</v>
      </c>
      <c r="Q50" s="104">
        <f>25380-W50-AC50</f>
        <v>880</v>
      </c>
      <c r="R50" s="104">
        <v>278978.52</v>
      </c>
      <c r="S50" s="131">
        <f t="shared" si="39"/>
        <v>620463.35</v>
      </c>
      <c r="T50" s="104">
        <v>565138.89</v>
      </c>
      <c r="U50" s="104">
        <v>41779.08</v>
      </c>
      <c r="V50" s="104">
        <v>1095.3800000000001</v>
      </c>
      <c r="W50" s="104">
        <v>12450</v>
      </c>
      <c r="X50" s="104"/>
      <c r="Y50" s="131">
        <f t="shared" si="40"/>
        <v>151213.42000000001</v>
      </c>
      <c r="Z50" s="104">
        <v>127774.85</v>
      </c>
      <c r="AA50" s="104">
        <v>9194.51</v>
      </c>
      <c r="AB50" s="104">
        <v>2194.06</v>
      </c>
      <c r="AC50" s="104">
        <v>12050</v>
      </c>
      <c r="AD50" s="104"/>
    </row>
    <row r="51" spans="1:30" x14ac:dyDescent="0.25">
      <c r="A51" s="151"/>
      <c r="B51" s="103" t="str">
        <f>IF(L!$A$1=1,L!B172,IF(L!$A$1=2,L!C172,L!D172))</f>
        <v>2018 Korrik</v>
      </c>
      <c r="C51" s="131">
        <f t="shared" si="36"/>
        <v>1203719.47</v>
      </c>
      <c r="D51" s="104">
        <f>E51+M51</f>
        <v>514882.69738000014</v>
      </c>
      <c r="E51" s="104">
        <f>F51+G51+H51+I51+L51</f>
        <v>109225.46738000003</v>
      </c>
      <c r="F51" s="104">
        <v>24978.209360000001</v>
      </c>
      <c r="G51" s="104">
        <v>11062.969240000006</v>
      </c>
      <c r="H51" s="104">
        <v>935.6237799999999</v>
      </c>
      <c r="I51" s="105">
        <f>SUM(J51:K51)</f>
        <v>45737.674990000021</v>
      </c>
      <c r="J51" s="104">
        <v>36228.048600000002</v>
      </c>
      <c r="K51" s="104">
        <v>9509.6263900000195</v>
      </c>
      <c r="L51" s="104">
        <v>26510.990009999994</v>
      </c>
      <c r="M51" s="104">
        <f>SUM(N51:R51)</f>
        <v>405657.2300000001</v>
      </c>
      <c r="N51" s="104">
        <f>807595.51-T51-Z51</f>
        <v>119073.95000000007</v>
      </c>
      <c r="O51" s="104">
        <f>153335.58-U51-AA51</f>
        <v>81703.439999999988</v>
      </c>
      <c r="P51" s="104">
        <f>21243.84-V51-AB51</f>
        <v>10045.299999999999</v>
      </c>
      <c r="Q51" s="104">
        <f>54500-W51-AC51</f>
        <v>27790</v>
      </c>
      <c r="R51" s="104">
        <v>167044.54</v>
      </c>
      <c r="S51" s="131">
        <f>SUM(T51:X51)</f>
        <v>623442.37999999989</v>
      </c>
      <c r="T51" s="104">
        <v>560901.43999999994</v>
      </c>
      <c r="U51" s="104">
        <v>51216.59</v>
      </c>
      <c r="V51" s="104">
        <v>8714.35</v>
      </c>
      <c r="W51" s="104">
        <v>2610</v>
      </c>
      <c r="X51" s="104"/>
      <c r="Y51" s="131">
        <f>SUM(Z51:AD51)</f>
        <v>174619.86</v>
      </c>
      <c r="Z51" s="104">
        <v>127620.12</v>
      </c>
      <c r="AA51" s="104">
        <v>20415.55</v>
      </c>
      <c r="AB51" s="104">
        <v>2484.19</v>
      </c>
      <c r="AC51" s="104">
        <v>24100</v>
      </c>
      <c r="AD51" s="104"/>
    </row>
    <row r="52" spans="1:30" x14ac:dyDescent="0.25">
      <c r="A52" s="151"/>
      <c r="B52" s="103" t="str">
        <f>IF(L!$A$1=1,L!B173,IF(L!$A$1=2,L!C173,L!D173))</f>
        <v>2018 Gusht</v>
      </c>
      <c r="C52" s="131">
        <f t="shared" si="36"/>
        <v>1283338.8400000001</v>
      </c>
      <c r="D52" s="104">
        <f>E52+M52</f>
        <v>577892.87390000001</v>
      </c>
      <c r="E52" s="104">
        <f>F52+G52+H52+I52+L52</f>
        <v>106809.34389999999</v>
      </c>
      <c r="F52" s="104">
        <v>24661.182910000003</v>
      </c>
      <c r="G52" s="104">
        <v>11634.678899999999</v>
      </c>
      <c r="H52" s="104">
        <v>785.79655000000093</v>
      </c>
      <c r="I52" s="105">
        <f>SUM(J52:K52)</f>
        <v>36402.685249999995</v>
      </c>
      <c r="J52" s="104">
        <v>27800.572889999999</v>
      </c>
      <c r="K52" s="104">
        <v>8602.1123599999992</v>
      </c>
      <c r="L52" s="104">
        <v>33325.000289999996</v>
      </c>
      <c r="M52" s="104">
        <f>SUM(N52:R52)</f>
        <v>471083.53</v>
      </c>
      <c r="N52" s="104">
        <f>805772.37-T52-Z52</f>
        <v>121767.79000000005</v>
      </c>
      <c r="O52" s="104">
        <f>150639.8-U52-AA52</f>
        <v>106380.56999999999</v>
      </c>
      <c r="P52" s="104">
        <f>8763.28-V52-AB52</f>
        <v>5554.93</v>
      </c>
      <c r="Q52" s="104">
        <f>29460-W52-AC52</f>
        <v>21430</v>
      </c>
      <c r="R52" s="104">
        <f>288703.39-X52-AD52</f>
        <v>215950.24000000002</v>
      </c>
      <c r="S52" s="131">
        <f>SUM(T52:X52)</f>
        <v>668012.54999999993</v>
      </c>
      <c r="T52" s="104">
        <v>558198.56999999995</v>
      </c>
      <c r="U52" s="104">
        <v>29797.96</v>
      </c>
      <c r="V52" s="104">
        <v>2832.87</v>
      </c>
      <c r="W52" s="104">
        <v>4430</v>
      </c>
      <c r="X52" s="104">
        <v>72753.149999999994</v>
      </c>
      <c r="Y52" s="131">
        <f>SUM(Z52:AD52)</f>
        <v>144242.76</v>
      </c>
      <c r="Z52" s="104">
        <v>125806.01</v>
      </c>
      <c r="AA52" s="104">
        <v>14461.27</v>
      </c>
      <c r="AB52" s="104">
        <v>375.48</v>
      </c>
      <c r="AC52" s="104">
        <v>3600</v>
      </c>
      <c r="AD52" s="104"/>
    </row>
    <row r="53" spans="1:30" x14ac:dyDescent="0.25">
      <c r="A53" s="151"/>
      <c r="B53" s="103" t="str">
        <f>IF(L!$A$1=1,L!B174,IF(L!$A$1=2,L!C174,L!D174))</f>
        <v>2018 Shtator</v>
      </c>
      <c r="C53" s="131">
        <f t="shared" si="36"/>
        <v>1423431.7600000002</v>
      </c>
      <c r="D53" s="104"/>
      <c r="E53" s="104"/>
      <c r="F53" s="104"/>
      <c r="G53" s="104"/>
      <c r="H53" s="104"/>
      <c r="I53" s="104"/>
      <c r="J53" s="104"/>
      <c r="K53" s="104"/>
      <c r="L53" s="104"/>
      <c r="M53" s="104">
        <f t="shared" ref="M53:M56" si="43">SUM(N53:R53)</f>
        <v>520841.52000000014</v>
      </c>
      <c r="N53" s="104">
        <f>806771.67-T53-Z53</f>
        <v>114578.7900000001</v>
      </c>
      <c r="O53" s="104">
        <f>190426.38-U53-AA53</f>
        <v>96919.2</v>
      </c>
      <c r="P53" s="104">
        <f>8040.59-V53-AB53</f>
        <v>2606.33</v>
      </c>
      <c r="Q53" s="104">
        <f>5150-W53-AC53</f>
        <v>2900</v>
      </c>
      <c r="R53" s="104">
        <f>413043.12-X53-AD53</f>
        <v>303837.2</v>
      </c>
      <c r="S53" s="131">
        <f t="shared" ref="S53:S56" si="44">SUM(T53:X53)</f>
        <v>744089.45000000007</v>
      </c>
      <c r="T53" s="104">
        <v>566292.94999999995</v>
      </c>
      <c r="U53" s="104">
        <v>78618.66</v>
      </c>
      <c r="V53" s="104">
        <v>1798.92</v>
      </c>
      <c r="W53" s="104"/>
      <c r="X53" s="104">
        <v>97378.92</v>
      </c>
      <c r="Y53" s="131">
        <f t="shared" ref="Y53:Y56" si="45">SUM(Z53:AD53)</f>
        <v>158500.78999999998</v>
      </c>
      <c r="Z53" s="104">
        <v>125899.93</v>
      </c>
      <c r="AA53" s="104">
        <v>14888.52</v>
      </c>
      <c r="AB53" s="104">
        <v>3635.34</v>
      </c>
      <c r="AC53" s="104">
        <v>2250</v>
      </c>
      <c r="AD53" s="104">
        <v>11827</v>
      </c>
    </row>
    <row r="54" spans="1:30" x14ac:dyDescent="0.25">
      <c r="A54" s="152"/>
      <c r="B54" s="103" t="str">
        <f>IF(L!$A$1=1,L!B175,IF(L!$A$1=2,L!C175,L!D175))</f>
        <v>2018 Tetor</v>
      </c>
      <c r="C54" s="131">
        <f t="shared" si="36"/>
        <v>1479314.63</v>
      </c>
      <c r="D54" s="104"/>
      <c r="E54" s="104"/>
      <c r="F54" s="104"/>
      <c r="G54" s="104"/>
      <c r="H54" s="104"/>
      <c r="I54" s="104"/>
      <c r="J54" s="104"/>
      <c r="K54" s="104"/>
      <c r="L54" s="104"/>
      <c r="M54" s="104">
        <f t="shared" si="43"/>
        <v>494376.48</v>
      </c>
      <c r="N54" s="104">
        <f>818109.72-T54-Z54</f>
        <v>122152.74999999997</v>
      </c>
      <c r="O54" s="104">
        <f>261974.42-U54-AA54</f>
        <v>98175.61</v>
      </c>
      <c r="P54" s="104">
        <f>32913.71-V54-AB54</f>
        <v>21245.839999999997</v>
      </c>
      <c r="Q54" s="104">
        <f>6400-AC54</f>
        <v>600</v>
      </c>
      <c r="R54" s="104">
        <f>359916.78-X54-AD54</f>
        <v>252202.28000000003</v>
      </c>
      <c r="S54" s="131">
        <f t="shared" si="44"/>
        <v>794832.63</v>
      </c>
      <c r="T54" s="104">
        <v>563219.89</v>
      </c>
      <c r="U54" s="104">
        <v>139086.17000000001</v>
      </c>
      <c r="V54" s="104">
        <v>9065.3700000000008</v>
      </c>
      <c r="W54" s="104"/>
      <c r="X54" s="104">
        <v>83461.2</v>
      </c>
      <c r="Y54" s="131">
        <f t="shared" si="45"/>
        <v>190105.51999999996</v>
      </c>
      <c r="Z54" s="104">
        <v>132737.07999999999</v>
      </c>
      <c r="AA54" s="104">
        <v>24712.639999999999</v>
      </c>
      <c r="AB54" s="104">
        <v>2602.5</v>
      </c>
      <c r="AC54" s="104">
        <v>5800</v>
      </c>
      <c r="AD54" s="104">
        <v>24253.3</v>
      </c>
    </row>
    <row r="55" spans="1:30" x14ac:dyDescent="0.25">
      <c r="A55" s="152"/>
      <c r="B55" s="103" t="str">
        <f>IF(L!$A$1=1,L!B176,IF(L!$A$1=2,L!C176,L!D176))</f>
        <v xml:space="preserve">2018 Nëntor </v>
      </c>
      <c r="C55" s="131">
        <f t="shared" si="36"/>
        <v>1776330.9399999997</v>
      </c>
      <c r="D55" s="104"/>
      <c r="E55" s="104"/>
      <c r="F55" s="104"/>
      <c r="G55" s="104"/>
      <c r="H55" s="104"/>
      <c r="I55" s="104"/>
      <c r="J55" s="104"/>
      <c r="K55" s="104"/>
      <c r="L55" s="104"/>
      <c r="M55" s="104">
        <f t="shared" si="43"/>
        <v>740524.84</v>
      </c>
      <c r="N55" s="104">
        <f>829144.84-T55-Z55</f>
        <v>123101.07000000004</v>
      </c>
      <c r="O55" s="104">
        <f>186550.14-U55-AA55</f>
        <v>76387.44</v>
      </c>
      <c r="P55" s="104">
        <f>13631.1-V55-AB55</f>
        <v>9360</v>
      </c>
      <c r="Q55" s="104">
        <f>5761-W55-AC55</f>
        <v>1446</v>
      </c>
      <c r="R55" s="104">
        <f>741243.86-X55-AD55</f>
        <v>530230.32999999996</v>
      </c>
      <c r="S55" s="131">
        <f t="shared" si="44"/>
        <v>791850.94</v>
      </c>
      <c r="T55" s="104">
        <v>569021.93999999994</v>
      </c>
      <c r="U55" s="104">
        <v>80284.02</v>
      </c>
      <c r="V55" s="104">
        <v>1103.94</v>
      </c>
      <c r="W55" s="104">
        <v>1015</v>
      </c>
      <c r="X55" s="104">
        <v>140426.04</v>
      </c>
      <c r="Y55" s="131">
        <f t="shared" si="45"/>
        <v>243955.15999999997</v>
      </c>
      <c r="Z55" s="104">
        <v>137021.82999999999</v>
      </c>
      <c r="AA55" s="104">
        <v>29878.68</v>
      </c>
      <c r="AB55" s="104">
        <v>3167.16</v>
      </c>
      <c r="AC55" s="104">
        <v>3300</v>
      </c>
      <c r="AD55" s="104">
        <v>70587.490000000005</v>
      </c>
    </row>
    <row r="56" spans="1:30" x14ac:dyDescent="0.25">
      <c r="A56" s="152"/>
      <c r="B56" s="103" t="str">
        <f>IF(L!$A$1=1,L!B177,IF(L!$A$1=2,L!C177,L!D177))</f>
        <v>2018 Dhjetor</v>
      </c>
      <c r="C56" s="131">
        <f t="shared" si="36"/>
        <v>3251628.1599999997</v>
      </c>
      <c r="D56" s="104"/>
      <c r="E56" s="104"/>
      <c r="F56" s="104"/>
      <c r="G56" s="104"/>
      <c r="H56" s="104"/>
      <c r="I56" s="104"/>
      <c r="J56" s="104"/>
      <c r="K56" s="104"/>
      <c r="L56" s="104"/>
      <c r="M56" s="104">
        <f t="shared" si="43"/>
        <v>1949217.94</v>
      </c>
      <c r="N56" s="104">
        <f>846552.92-T56-Z56</f>
        <v>142733.78</v>
      </c>
      <c r="O56" s="104">
        <f>421445.2-U56-AA56</f>
        <v>227363.87</v>
      </c>
      <c r="P56" s="104">
        <f>39660.8-V56-AB56</f>
        <v>19801.000000000004</v>
      </c>
      <c r="Q56" s="104">
        <f>9516-W56-AC56</f>
        <v>3966</v>
      </c>
      <c r="R56" s="104">
        <f>1934453.24-X56-AD56</f>
        <v>1555353.2899999998</v>
      </c>
      <c r="S56" s="131">
        <f t="shared" si="44"/>
        <v>980385.3600000001</v>
      </c>
      <c r="T56" s="104">
        <v>567138.16</v>
      </c>
      <c r="U56" s="104">
        <v>112971.89</v>
      </c>
      <c r="V56" s="104">
        <v>17245.66</v>
      </c>
      <c r="W56" s="104">
        <v>100</v>
      </c>
      <c r="X56" s="104">
        <v>282929.65000000002</v>
      </c>
      <c r="Y56" s="131">
        <f t="shared" si="45"/>
        <v>322024.86000000004</v>
      </c>
      <c r="Z56" s="104">
        <v>136680.98000000001</v>
      </c>
      <c r="AA56" s="104">
        <v>81109.440000000002</v>
      </c>
      <c r="AB56" s="104">
        <v>2614.14</v>
      </c>
      <c r="AC56" s="104">
        <v>5450</v>
      </c>
      <c r="AD56" s="104">
        <v>96170.3</v>
      </c>
    </row>
    <row r="57" spans="1:30" x14ac:dyDescent="0.25">
      <c r="A57" s="153"/>
      <c r="B57" s="124" t="str">
        <f>IF(L!$A$1=1,L!B178,IF(L!$A$1=2,L!C178,L!D178))</f>
        <v>Gjithsej 2018</v>
      </c>
      <c r="C57" s="123">
        <f t="shared" si="36"/>
        <v>16614855.539999999</v>
      </c>
      <c r="D57" s="123">
        <f>E57+M57</f>
        <v>6887415.2003600001</v>
      </c>
      <c r="E57" s="123">
        <f>F57+G57+H57+I57+L57</f>
        <v>786598.25035999995</v>
      </c>
      <c r="F57" s="123">
        <f t="shared" ref="F57:L57" si="46">SUM(F45:F56)</f>
        <v>199842.55405999999</v>
      </c>
      <c r="G57" s="123">
        <f t="shared" si="46"/>
        <v>89609.018400000001</v>
      </c>
      <c r="H57" s="123">
        <f t="shared" si="46"/>
        <v>9770.3237100000006</v>
      </c>
      <c r="I57" s="123">
        <f t="shared" si="46"/>
        <v>309270.71338999999</v>
      </c>
      <c r="J57" s="121">
        <f t="shared" si="46"/>
        <v>249135.98098000002</v>
      </c>
      <c r="K57" s="121">
        <f t="shared" si="46"/>
        <v>60134.732409999997</v>
      </c>
      <c r="L57" s="121">
        <f t="shared" si="46"/>
        <v>178105.64079999999</v>
      </c>
      <c r="M57" s="121">
        <f>SUM(N57:R57)</f>
        <v>6100816.9500000002</v>
      </c>
      <c r="N57" s="121">
        <f t="shared" ref="N57:R57" si="47">SUM(N45:N56)</f>
        <v>1459488.4000000001</v>
      </c>
      <c r="O57" s="121">
        <f t="shared" si="47"/>
        <v>997220.03999999992</v>
      </c>
      <c r="P57" s="121">
        <f t="shared" si="47"/>
        <v>138781.68000000002</v>
      </c>
      <c r="Q57" s="121">
        <f t="shared" si="47"/>
        <v>62342</v>
      </c>
      <c r="R57" s="121">
        <f t="shared" si="47"/>
        <v>3442984.83</v>
      </c>
      <c r="S57" s="121">
        <f>SUM(T57:X57)</f>
        <v>8359864.7100000009</v>
      </c>
      <c r="T57" s="121">
        <f t="shared" ref="T57:X57" si="48">SUM(T45:T56)</f>
        <v>6763020.2300000004</v>
      </c>
      <c r="U57" s="121">
        <f t="shared" si="48"/>
        <v>731479.84000000008</v>
      </c>
      <c r="V57" s="121">
        <f t="shared" si="48"/>
        <v>80913.78</v>
      </c>
      <c r="W57" s="121">
        <f t="shared" si="48"/>
        <v>33000</v>
      </c>
      <c r="X57" s="121">
        <f t="shared" si="48"/>
        <v>751450.86</v>
      </c>
      <c r="Y57" s="121">
        <f>SUM(Z57:AD57)</f>
        <v>2154173.88</v>
      </c>
      <c r="Z57" s="121">
        <f t="shared" ref="Z57:AD57" si="49">SUM(Z45:Z56)</f>
        <v>1550229.43</v>
      </c>
      <c r="AA57" s="121">
        <f t="shared" si="49"/>
        <v>277457.08</v>
      </c>
      <c r="AB57" s="121">
        <f t="shared" si="49"/>
        <v>37898.28</v>
      </c>
      <c r="AC57" s="121">
        <f t="shared" si="49"/>
        <v>84450</v>
      </c>
      <c r="AD57" s="121">
        <f t="shared" si="49"/>
        <v>204139.09000000003</v>
      </c>
    </row>
    <row r="58" spans="1:30" x14ac:dyDescent="0.25">
      <c r="A58" s="151">
        <v>2019</v>
      </c>
      <c r="B58" s="103" t="str">
        <f>IF(L!$A$1=1,L!B179,IF(L!$A$1=2,L!C179,L!D179))</f>
        <v>2019 Janar</v>
      </c>
      <c r="C58" s="131">
        <f t="shared" ref="C58:C70" si="50">M58+S58+Y58</f>
        <v>876068.42999999993</v>
      </c>
      <c r="D58" s="104">
        <f>E58+M58</f>
        <v>211991.43921000004</v>
      </c>
      <c r="E58" s="104">
        <f>F58+G58+H58+I58+L58</f>
        <v>57713.659209999998</v>
      </c>
      <c r="F58" s="104">
        <v>24846.235489999999</v>
      </c>
      <c r="G58" s="104">
        <v>1301.9379300000001</v>
      </c>
      <c r="H58" s="104">
        <v>469.39997</v>
      </c>
      <c r="I58" s="105">
        <f t="shared" ref="I58:I61" si="51">SUM(J58:K58)</f>
        <v>30409.931329999999</v>
      </c>
      <c r="J58" s="104">
        <v>27498.698</v>
      </c>
      <c r="K58" s="104">
        <v>2911.23333</v>
      </c>
      <c r="L58" s="104">
        <v>686.15449000000001</v>
      </c>
      <c r="M58" s="104">
        <f t="shared" ref="M58:M63" si="52">SUM(N58:R58)</f>
        <v>154277.78000000003</v>
      </c>
      <c r="N58" s="104">
        <f>814670.23-T58-Z58</f>
        <v>119538.94000000003</v>
      </c>
      <c r="O58" s="104">
        <f>45666.5-U58-AA58</f>
        <v>28191.190000000002</v>
      </c>
      <c r="P58" s="104">
        <f>12781.7-V58-AB58</f>
        <v>6547.6500000000015</v>
      </c>
      <c r="Q58" s="104"/>
      <c r="R58" s="104"/>
      <c r="S58" s="131">
        <f t="shared" ref="S58:S63" si="53">SUM(T58:X58)</f>
        <v>575200.77999999991</v>
      </c>
      <c r="T58" s="104">
        <v>563178.96</v>
      </c>
      <c r="U58" s="104">
        <v>9235.2000000000007</v>
      </c>
      <c r="V58" s="104">
        <v>2786.62</v>
      </c>
      <c r="W58" s="104"/>
      <c r="X58" s="104"/>
      <c r="Y58" s="131">
        <f t="shared" ref="Y58:Y63" si="54">SUM(Z58:AD58)</f>
        <v>146589.87</v>
      </c>
      <c r="Z58" s="104">
        <v>131952.32999999999</v>
      </c>
      <c r="AA58" s="104">
        <v>8240.11</v>
      </c>
      <c r="AB58" s="104">
        <v>3447.43</v>
      </c>
      <c r="AC58" s="104">
        <v>2950</v>
      </c>
      <c r="AD58" s="104"/>
    </row>
    <row r="59" spans="1:30" x14ac:dyDescent="0.25">
      <c r="A59" s="151"/>
      <c r="B59" s="103" t="str">
        <f>IF(L!$A$1=1,L!B180,IF(L!$A$1=2,L!C180,L!D180))</f>
        <v>2019 Shkurt</v>
      </c>
      <c r="C59" s="131">
        <f t="shared" si="50"/>
        <v>962397.28</v>
      </c>
      <c r="D59" s="104">
        <f t="shared" ref="D59:D62" si="55">E59+M59</f>
        <v>298730.55056</v>
      </c>
      <c r="E59" s="104">
        <f t="shared" ref="E59:E62" si="56">F59+G59+H59+I59+L59</f>
        <v>87018.600559999992</v>
      </c>
      <c r="F59" s="104">
        <v>25348.27275</v>
      </c>
      <c r="G59" s="104">
        <v>12435.78448</v>
      </c>
      <c r="H59" s="104">
        <v>2584.5733500000001</v>
      </c>
      <c r="I59" s="105">
        <f t="shared" si="51"/>
        <v>35523.365980000002</v>
      </c>
      <c r="J59" s="104">
        <v>29987.650020000001</v>
      </c>
      <c r="K59" s="104">
        <v>5535.7159600000005</v>
      </c>
      <c r="L59" s="104">
        <v>11126.603999999999</v>
      </c>
      <c r="M59" s="104">
        <f t="shared" si="52"/>
        <v>211711.95000000004</v>
      </c>
      <c r="N59" s="104">
        <f>821561.97-T59-Z59</f>
        <v>117135.68000000002</v>
      </c>
      <c r="O59" s="104">
        <f>119273.04-U59-AA59</f>
        <v>82802.13</v>
      </c>
      <c r="P59" s="104">
        <f>18082.27-V59-AB59</f>
        <v>8294.1400000000012</v>
      </c>
      <c r="Q59" s="104">
        <v>3480</v>
      </c>
      <c r="R59" s="104"/>
      <c r="S59" s="131">
        <f t="shared" si="53"/>
        <v>597764.41999999993</v>
      </c>
      <c r="T59" s="104">
        <v>569377.06999999995</v>
      </c>
      <c r="U59" s="104">
        <v>21628.37</v>
      </c>
      <c r="V59" s="104">
        <v>6758.98</v>
      </c>
      <c r="W59" s="104"/>
      <c r="X59" s="104"/>
      <c r="Y59" s="131">
        <f t="shared" si="54"/>
        <v>152920.91</v>
      </c>
      <c r="Z59" s="104">
        <v>135049.22</v>
      </c>
      <c r="AA59" s="104">
        <v>14842.54</v>
      </c>
      <c r="AB59" s="104">
        <v>3029.15</v>
      </c>
      <c r="AC59" s="104"/>
      <c r="AD59" s="104"/>
    </row>
    <row r="60" spans="1:30" x14ac:dyDescent="0.25">
      <c r="A60" s="151"/>
      <c r="B60" s="103" t="str">
        <f>IF(L!$A$1=1,L!B181,IF(L!$A$1=2,L!C181,L!D181))</f>
        <v xml:space="preserve">2019 Mars </v>
      </c>
      <c r="C60" s="131">
        <f t="shared" si="50"/>
        <v>1094421.3499999999</v>
      </c>
      <c r="D60" s="104">
        <f t="shared" si="55"/>
        <v>387342.65102000005</v>
      </c>
      <c r="E60" s="104">
        <f t="shared" si="56"/>
        <v>110996.73102000001</v>
      </c>
      <c r="F60" s="104">
        <v>24671.084579999999</v>
      </c>
      <c r="G60" s="104">
        <f>13602.18788+3.63797880709171E-12</f>
        <v>13602.187880000003</v>
      </c>
      <c r="H60" s="104">
        <v>1470.13113</v>
      </c>
      <c r="I60" s="105">
        <f t="shared" si="51"/>
        <v>41293.796000000002</v>
      </c>
      <c r="J60" s="104">
        <v>31926.155299999999</v>
      </c>
      <c r="K60" s="104">
        <v>9367.6406999999999</v>
      </c>
      <c r="L60" s="104">
        <v>29959.531429999999</v>
      </c>
      <c r="M60" s="104">
        <f t="shared" si="52"/>
        <v>276345.92000000004</v>
      </c>
      <c r="N60" s="104">
        <f>822180.5-T60-Z60</f>
        <v>118221.19000000005</v>
      </c>
      <c r="O60" s="104">
        <f>198891.53-U60-AA60</f>
        <v>113043.5</v>
      </c>
      <c r="P60" s="104">
        <f>36889.32-V60-AB60</f>
        <v>21321.23</v>
      </c>
      <c r="Q60" s="104">
        <f>12700-W60-AC60</f>
        <v>0</v>
      </c>
      <c r="R60" s="104">
        <f>23760</f>
        <v>23760</v>
      </c>
      <c r="S60" s="131">
        <f t="shared" si="53"/>
        <v>653631.87999999989</v>
      </c>
      <c r="T60" s="104">
        <v>573215.06999999995</v>
      </c>
      <c r="U60" s="104">
        <v>63373.84</v>
      </c>
      <c r="V60" s="104">
        <v>10542.97</v>
      </c>
      <c r="W60" s="104">
        <v>6500</v>
      </c>
      <c r="X60" s="104"/>
      <c r="Y60" s="131">
        <f t="shared" si="54"/>
        <v>164443.54999999999</v>
      </c>
      <c r="Z60" s="104">
        <v>130744.24</v>
      </c>
      <c r="AA60" s="104">
        <v>22474.19</v>
      </c>
      <c r="AB60" s="104">
        <v>5025.12</v>
      </c>
      <c r="AC60" s="104">
        <v>6200</v>
      </c>
      <c r="AD60" s="104"/>
    </row>
    <row r="61" spans="1:30" x14ac:dyDescent="0.25">
      <c r="A61" s="151"/>
      <c r="B61" s="103" t="str">
        <f>IF(L!$A$1=1,L!B182,IF(L!$A$1=2,L!C182,L!D182))</f>
        <v>2019 Prill</v>
      </c>
      <c r="C61" s="131">
        <f t="shared" si="50"/>
        <v>1269205.68</v>
      </c>
      <c r="D61" s="104">
        <f t="shared" si="55"/>
        <v>522452.85502000002</v>
      </c>
      <c r="E61" s="104">
        <f t="shared" si="56"/>
        <v>99928.195020000014</v>
      </c>
      <c r="F61" s="104">
        <v>25058.463449999999</v>
      </c>
      <c r="G61" s="104">
        <v>13938.50973</v>
      </c>
      <c r="H61" s="104">
        <v>1722.8931499999999</v>
      </c>
      <c r="I61" s="105">
        <f t="shared" si="51"/>
        <v>40998.962180000002</v>
      </c>
      <c r="J61" s="104">
        <v>31609.135450000002</v>
      </c>
      <c r="K61" s="104">
        <f>9389.82673</f>
        <v>9389.8267300000007</v>
      </c>
      <c r="L61" s="104">
        <v>18209.36651</v>
      </c>
      <c r="M61" s="104">
        <f t="shared" si="52"/>
        <v>422524.66000000003</v>
      </c>
      <c r="N61" s="104">
        <f>825572.88-T61-Z61</f>
        <v>117522.24000000002</v>
      </c>
      <c r="O61" s="104">
        <f>184088.23-U61-AA61</f>
        <v>85767.75</v>
      </c>
      <c r="P61" s="104">
        <f>20942.28-W61-AB61</f>
        <v>14193.539999999999</v>
      </c>
      <c r="Q61" s="104">
        <f>20735-W61-AC61</f>
        <v>7185</v>
      </c>
      <c r="R61" s="104">
        <f>216098.98-X61</f>
        <v>197856.13</v>
      </c>
      <c r="S61" s="131">
        <f t="shared" si="53"/>
        <v>671993.59</v>
      </c>
      <c r="T61" s="104">
        <v>574614.1</v>
      </c>
      <c r="U61" s="104">
        <v>70168.33</v>
      </c>
      <c r="V61" s="104">
        <v>5368.31</v>
      </c>
      <c r="W61" s="104">
        <v>3600</v>
      </c>
      <c r="X61" s="104">
        <v>18242.849999999999</v>
      </c>
      <c r="Y61" s="131">
        <f t="shared" si="54"/>
        <v>174687.43</v>
      </c>
      <c r="Z61" s="104">
        <v>133436.54</v>
      </c>
      <c r="AA61" s="104">
        <v>28152.15</v>
      </c>
      <c r="AB61" s="104">
        <v>3148.74</v>
      </c>
      <c r="AC61" s="104">
        <v>9950</v>
      </c>
      <c r="AD61" s="104"/>
    </row>
    <row r="62" spans="1:30" x14ac:dyDescent="0.25">
      <c r="A62" s="151"/>
      <c r="B62" s="103" t="str">
        <f>IF(L!$A$1=1,L!B183,IF(L!$A$1=2,L!C183,L!D183))</f>
        <v>2019 Maj</v>
      </c>
      <c r="C62" s="131">
        <f t="shared" si="50"/>
        <v>1324144.8500000001</v>
      </c>
      <c r="D62" s="104">
        <f t="shared" si="55"/>
        <v>587179.25748999999</v>
      </c>
      <c r="E62" s="104">
        <f t="shared" si="56"/>
        <v>108203.85748999999</v>
      </c>
      <c r="F62" s="104">
        <v>25176.423500000001</v>
      </c>
      <c r="G62" s="104">
        <v>14788.43672</v>
      </c>
      <c r="H62" s="104">
        <v>1029.37871</v>
      </c>
      <c r="I62" s="105">
        <f>SUM(J62:K62)</f>
        <v>39702.245540000004</v>
      </c>
      <c r="J62" s="104">
        <v>31959.173699999999</v>
      </c>
      <c r="K62" s="104">
        <f>7742.36933+0.70251</f>
        <v>7743.0718400000005</v>
      </c>
      <c r="L62" s="104">
        <v>27507.373019999999</v>
      </c>
      <c r="M62" s="104">
        <f t="shared" si="52"/>
        <v>478975.39999999997</v>
      </c>
      <c r="N62" s="104">
        <f>826978.8-T62-Z62</f>
        <v>118188.69</v>
      </c>
      <c r="O62" s="104">
        <f>273566.74-U62-AA62</f>
        <v>199415.16999999998</v>
      </c>
      <c r="P62" s="104">
        <f>23167.6-V62-AB62</f>
        <v>8659.42</v>
      </c>
      <c r="Q62" s="104">
        <f>14335-W62-AC62</f>
        <v>1685</v>
      </c>
      <c r="R62" s="104">
        <f>186096.71-X62</f>
        <v>151027.12</v>
      </c>
      <c r="S62" s="131">
        <f t="shared" si="53"/>
        <v>685746.1</v>
      </c>
      <c r="T62" s="104">
        <v>578888.43000000005</v>
      </c>
      <c r="U62" s="104">
        <v>54002.12</v>
      </c>
      <c r="V62" s="104">
        <v>12185.96</v>
      </c>
      <c r="W62" s="104">
        <v>5600</v>
      </c>
      <c r="X62" s="104">
        <v>35069.589999999997</v>
      </c>
      <c r="Y62" s="131">
        <f t="shared" si="54"/>
        <v>159423.35</v>
      </c>
      <c r="Z62" s="104">
        <v>129901.68</v>
      </c>
      <c r="AA62" s="104">
        <f>23261.95-3112.5</f>
        <v>20149.45</v>
      </c>
      <c r="AB62" s="104">
        <v>2322.2199999999998</v>
      </c>
      <c r="AC62" s="104">
        <v>7050</v>
      </c>
      <c r="AD62" s="104"/>
    </row>
    <row r="63" spans="1:30" x14ac:dyDescent="0.25">
      <c r="A63" s="151"/>
      <c r="B63" s="103" t="str">
        <f>IF(L!$A$1=1,L!B184,IF(L!$A$1=2,L!C184,L!D184))</f>
        <v>2019 Qershor</v>
      </c>
      <c r="C63" s="131">
        <f t="shared" si="50"/>
        <v>1334793.81</v>
      </c>
      <c r="D63" s="104">
        <f>E63+M63</f>
        <v>554739.88578000001</v>
      </c>
      <c r="E63" s="104">
        <f>F63+G63+H63+I63+L63</f>
        <v>106702.39577999998</v>
      </c>
      <c r="F63" s="104">
        <v>25102.682019999993</v>
      </c>
      <c r="G63" s="104">
        <v>10844.51352</v>
      </c>
      <c r="H63" s="104">
        <v>772.52707000000009</v>
      </c>
      <c r="I63" s="105">
        <f>SUM(J63:K63)</f>
        <v>39202.052119999978</v>
      </c>
      <c r="J63" s="104">
        <v>32126.547020000002</v>
      </c>
      <c r="K63" s="104">
        <v>7075.5050999999803</v>
      </c>
      <c r="L63" s="104">
        <v>30780.621050000002</v>
      </c>
      <c r="M63" s="104">
        <f t="shared" si="52"/>
        <v>448037.49</v>
      </c>
      <c r="N63" s="104">
        <f>829696.85-T63-Z63</f>
        <v>117158.19</v>
      </c>
      <c r="O63" s="104">
        <f>150405.84-U63-AA63</f>
        <v>78198.95</v>
      </c>
      <c r="P63" s="104">
        <f>20082.02-V63-AB63</f>
        <v>13446.75</v>
      </c>
      <c r="Q63" s="104">
        <f>17505-W63-AC63</f>
        <v>3455</v>
      </c>
      <c r="R63" s="104">
        <f>317104.1-X63-AD63</f>
        <v>235778.59999999998</v>
      </c>
      <c r="S63" s="131">
        <f t="shared" si="53"/>
        <v>723277.68</v>
      </c>
      <c r="T63" s="104">
        <v>582433.59</v>
      </c>
      <c r="U63" s="104">
        <v>55017.41</v>
      </c>
      <c r="V63" s="104">
        <v>3501.18</v>
      </c>
      <c r="W63" s="104">
        <v>1000</v>
      </c>
      <c r="X63" s="104">
        <v>81325.5</v>
      </c>
      <c r="Y63" s="131">
        <f t="shared" si="54"/>
        <v>163478.64000000001</v>
      </c>
      <c r="Z63" s="104">
        <v>130105.07</v>
      </c>
      <c r="AA63" s="104">
        <v>17189.48</v>
      </c>
      <c r="AB63" s="104">
        <v>3134.09</v>
      </c>
      <c r="AC63" s="104">
        <v>13050</v>
      </c>
      <c r="AD63" s="104"/>
    </row>
    <row r="64" spans="1:30" x14ac:dyDescent="0.25">
      <c r="A64" s="151"/>
      <c r="B64" s="103" t="str">
        <f>IF(L!$A$1=1,L!B185,IF(L!$A$1=2,L!C185,L!D185))</f>
        <v>2019 Korrik</v>
      </c>
      <c r="C64" s="131">
        <f t="shared" si="50"/>
        <v>1393970.71</v>
      </c>
      <c r="D64" s="104">
        <f>E64+M64</f>
        <v>515574.62737999996</v>
      </c>
      <c r="E64" s="104">
        <f>F64+G64+H64+I64+L64</f>
        <v>109225.46738000003</v>
      </c>
      <c r="F64" s="104">
        <v>24978.209360000001</v>
      </c>
      <c r="G64" s="104">
        <v>11062.969240000006</v>
      </c>
      <c r="H64" s="104">
        <v>935.6237799999999</v>
      </c>
      <c r="I64" s="105">
        <f>SUM(J64:K64)</f>
        <v>45737.674990000021</v>
      </c>
      <c r="J64" s="104">
        <v>36228.048600000002</v>
      </c>
      <c r="K64" s="104">
        <v>9509.6263900000195</v>
      </c>
      <c r="L64" s="104">
        <v>26510.990009999994</v>
      </c>
      <c r="M64" s="104">
        <f>SUM(N64:R64)</f>
        <v>406349.15999999992</v>
      </c>
      <c r="N64" s="104">
        <f>822203.87-T64-Z64</f>
        <v>117113.04999999996</v>
      </c>
      <c r="O64" s="104">
        <f>209901.8-U64-AA64</f>
        <v>92199.969999999972</v>
      </c>
      <c r="P64" s="104">
        <f>16021.87-V64-AB64</f>
        <v>8970.5300000000007</v>
      </c>
      <c r="Q64" s="104">
        <f>66110-W64-AC64</f>
        <v>35670</v>
      </c>
      <c r="R64" s="104">
        <f>279733.17-X64-AD64</f>
        <v>152395.60999999996</v>
      </c>
      <c r="S64" s="131">
        <f>SUM(T64:X64)</f>
        <v>713696.13</v>
      </c>
      <c r="T64" s="104">
        <v>576738.91</v>
      </c>
      <c r="U64" s="104">
        <v>46164.89</v>
      </c>
      <c r="V64" s="104">
        <v>4717.37</v>
      </c>
      <c r="W64" s="104">
        <v>4840</v>
      </c>
      <c r="X64" s="104">
        <v>81234.960000000006</v>
      </c>
      <c r="Y64" s="131">
        <f>SUM(Z64:AD64)</f>
        <v>273925.42</v>
      </c>
      <c r="Z64" s="104">
        <v>128351.91</v>
      </c>
      <c r="AA64" s="104">
        <v>71536.94</v>
      </c>
      <c r="AB64" s="104">
        <v>2333.9699999999998</v>
      </c>
      <c r="AC64" s="104">
        <v>25600</v>
      </c>
      <c r="AD64" s="104">
        <v>46102.6</v>
      </c>
    </row>
    <row r="65" spans="1:30" x14ac:dyDescent="0.25">
      <c r="A65" s="151"/>
      <c r="B65" s="103" t="str">
        <f>IF(L!$A$1=1,L!B186,IF(L!$A$1=2,L!C186,L!D186))</f>
        <v>2019 Gusht</v>
      </c>
      <c r="C65" s="131">
        <f t="shared" si="50"/>
        <v>1445941.09</v>
      </c>
      <c r="D65" s="104">
        <f>E65+M65</f>
        <v>687705.59389999998</v>
      </c>
      <c r="E65" s="104">
        <f>F65+G65+H65+I65+L65</f>
        <v>106809.34389999999</v>
      </c>
      <c r="F65" s="104">
        <v>24661.182910000003</v>
      </c>
      <c r="G65" s="104">
        <v>11634.678899999999</v>
      </c>
      <c r="H65" s="104">
        <v>785.79655000000093</v>
      </c>
      <c r="I65" s="105">
        <f>SUM(J65:K65)</f>
        <v>36402.685249999995</v>
      </c>
      <c r="J65" s="104">
        <v>27800.572889999999</v>
      </c>
      <c r="K65" s="104">
        <v>8602.1123599999992</v>
      </c>
      <c r="L65" s="104">
        <v>33325.000289999996</v>
      </c>
      <c r="M65" s="104">
        <f>SUM(N65:R65)</f>
        <v>580896.25</v>
      </c>
      <c r="N65" s="104">
        <f>818856.55-T65-Z65</f>
        <v>127104.71000000002</v>
      </c>
      <c r="O65" s="104">
        <f>185515.73-U65-AA65</f>
        <v>141359.43000000002</v>
      </c>
      <c r="P65" s="104">
        <f>16589.35-V65-AB65</f>
        <v>11130.839999999998</v>
      </c>
      <c r="Q65" s="104">
        <f>24530-W65-AC65</f>
        <v>8580</v>
      </c>
      <c r="R65" s="104">
        <f>400449.46-X65-AD65</f>
        <v>292721.27</v>
      </c>
      <c r="S65" s="131">
        <f>SUM(T65:X65)</f>
        <v>698124.05</v>
      </c>
      <c r="T65" s="104">
        <v>571732.91</v>
      </c>
      <c r="U65" s="104">
        <v>34954.93</v>
      </c>
      <c r="V65" s="104">
        <v>3193.49</v>
      </c>
      <c r="W65" s="104">
        <v>11700</v>
      </c>
      <c r="X65" s="104">
        <v>76542.720000000001</v>
      </c>
      <c r="Y65" s="131">
        <f>SUM(Z65:AD65)</f>
        <v>166920.78999999998</v>
      </c>
      <c r="Z65" s="104">
        <v>120018.93</v>
      </c>
      <c r="AA65" s="104">
        <v>9201.3700000000008</v>
      </c>
      <c r="AB65" s="104">
        <v>2265.02</v>
      </c>
      <c r="AC65" s="104">
        <v>4250</v>
      </c>
      <c r="AD65" s="104">
        <v>31185.47</v>
      </c>
    </row>
    <row r="66" spans="1:30" x14ac:dyDescent="0.25">
      <c r="A66" s="151"/>
      <c r="B66" s="103" t="str">
        <f>IF(L!$A$1=1,L!B187,IF(L!$A$1=2,L!C187,L!D187))</f>
        <v>2019 Shtator</v>
      </c>
      <c r="C66" s="131">
        <f t="shared" si="50"/>
        <v>1460305.9600000002</v>
      </c>
      <c r="D66" s="104"/>
      <c r="E66" s="104"/>
      <c r="F66" s="104"/>
      <c r="G66" s="104"/>
      <c r="H66" s="104"/>
      <c r="I66" s="104"/>
      <c r="J66" s="104"/>
      <c r="K66" s="104"/>
      <c r="L66" s="104"/>
      <c r="M66" s="104">
        <f t="shared" ref="M66:M69" si="57">SUM(N66:R66)</f>
        <v>654384.9</v>
      </c>
      <c r="N66" s="104">
        <f>818525.29-T66-Z66</f>
        <v>117514.19</v>
      </c>
      <c r="O66" s="104">
        <f>167592.79-U66-AA66</f>
        <v>87872.050000000017</v>
      </c>
      <c r="P66" s="104">
        <f>24018.75-V66-AB66</f>
        <v>12366.31</v>
      </c>
      <c r="Q66" s="104">
        <f>6940-W66-AC66</f>
        <v>3090</v>
      </c>
      <c r="R66" s="104">
        <f>443229.13-X66-AD66</f>
        <v>433542.35</v>
      </c>
      <c r="S66" s="131">
        <f t="shared" ref="S66:S69" si="58">SUM(T66:X66)</f>
        <v>666723.78000000014</v>
      </c>
      <c r="T66" s="104">
        <v>577570.03</v>
      </c>
      <c r="U66" s="104">
        <v>69477.06</v>
      </c>
      <c r="V66" s="104">
        <v>8189.91</v>
      </c>
      <c r="W66" s="104">
        <v>1800</v>
      </c>
      <c r="X66" s="104">
        <v>9686.7800000000007</v>
      </c>
      <c r="Y66" s="131">
        <f t="shared" ref="Y66:Y69" si="59">SUM(Z66:AD66)</f>
        <v>139197.28</v>
      </c>
      <c r="Z66" s="104">
        <v>123441.07</v>
      </c>
      <c r="AA66" s="104">
        <f>10438.65-194.97</f>
        <v>10243.68</v>
      </c>
      <c r="AB66" s="104">
        <v>3462.53</v>
      </c>
      <c r="AC66" s="104">
        <v>2050</v>
      </c>
      <c r="AD66" s="104"/>
    </row>
    <row r="67" spans="1:30" x14ac:dyDescent="0.25">
      <c r="A67" s="152"/>
      <c r="B67" s="103" t="str">
        <f>IF(L!$A$1=1,L!B188,IF(L!$A$1=2,L!C188,L!D188))</f>
        <v>2019 Tetor</v>
      </c>
      <c r="C67" s="131">
        <f t="shared" si="50"/>
        <v>1512226.9400000002</v>
      </c>
      <c r="D67" s="104"/>
      <c r="E67" s="104"/>
      <c r="F67" s="104"/>
      <c r="G67" s="104"/>
      <c r="H67" s="104"/>
      <c r="I67" s="104"/>
      <c r="J67" s="104"/>
      <c r="K67" s="104"/>
      <c r="L67" s="104"/>
      <c r="M67" s="104">
        <f t="shared" si="57"/>
        <v>559437.93000000017</v>
      </c>
      <c r="N67" s="104">
        <f>888179.18-T67-Z67</f>
        <v>114805.87000000008</v>
      </c>
      <c r="O67" s="104">
        <f>254944.1-U67-AA67</f>
        <v>125776.20000000001</v>
      </c>
      <c r="P67" s="104">
        <f>22231.38-V67-AB67</f>
        <v>10260.070000000002</v>
      </c>
      <c r="Q67" s="104">
        <f>765-W67</f>
        <v>695</v>
      </c>
      <c r="R67" s="104">
        <f>346107.28-X67-AD67</f>
        <v>307900.79000000004</v>
      </c>
      <c r="S67" s="131">
        <f t="shared" si="58"/>
        <v>721312.35</v>
      </c>
      <c r="T67" s="104">
        <v>568114.6</v>
      </c>
      <c r="U67" s="104">
        <v>109321.27</v>
      </c>
      <c r="V67" s="104">
        <v>9576.3799999999992</v>
      </c>
      <c r="W67" s="104">
        <v>70</v>
      </c>
      <c r="X67" s="104">
        <v>34230.1</v>
      </c>
      <c r="Y67" s="131">
        <f t="shared" si="59"/>
        <v>231476.66</v>
      </c>
      <c r="Z67" s="104">
        <v>205258.71</v>
      </c>
      <c r="AA67" s="104">
        <v>19846.63</v>
      </c>
      <c r="AB67" s="104">
        <v>2394.9299999999998</v>
      </c>
      <c r="AC67" s="104"/>
      <c r="AD67" s="104">
        <v>3976.39</v>
      </c>
    </row>
    <row r="68" spans="1:30" x14ac:dyDescent="0.25">
      <c r="A68" s="152"/>
      <c r="B68" s="103" t="str">
        <f>IF(L!$A$1=1,L!B189,IF(L!$A$1=2,L!C189,L!D189))</f>
        <v xml:space="preserve">2019 Nëntor </v>
      </c>
      <c r="C68" s="131">
        <f t="shared" si="50"/>
        <v>1717795.86</v>
      </c>
      <c r="D68" s="104"/>
      <c r="E68" s="104"/>
      <c r="F68" s="104"/>
      <c r="G68" s="104"/>
      <c r="H68" s="104"/>
      <c r="I68" s="104"/>
      <c r="J68" s="104"/>
      <c r="K68" s="104"/>
      <c r="L68" s="104"/>
      <c r="M68" s="104">
        <f t="shared" si="57"/>
        <v>703845.70000000007</v>
      </c>
      <c r="N68" s="104">
        <f>830724.74-T68-Z68</f>
        <v>122475.88000000003</v>
      </c>
      <c r="O68" s="104">
        <f>317580.06-U68-AA68</f>
        <v>107852.24000000002</v>
      </c>
      <c r="P68" s="104">
        <f>27630.56-V68-AB68</f>
        <v>16145.480000000001</v>
      </c>
      <c r="Q68" s="104">
        <f>7130-AC68</f>
        <v>3880</v>
      </c>
      <c r="R68" s="104">
        <f>534730.5-X68-AD68</f>
        <v>453492.1</v>
      </c>
      <c r="S68" s="131">
        <f t="shared" si="58"/>
        <v>816658.12</v>
      </c>
      <c r="T68" s="104">
        <v>577035.84</v>
      </c>
      <c r="U68" s="104">
        <v>165762.85999999999</v>
      </c>
      <c r="V68" s="104">
        <v>8121.02</v>
      </c>
      <c r="W68" s="104"/>
      <c r="X68" s="104">
        <v>65738.399999999994</v>
      </c>
      <c r="Y68" s="131">
        <f t="shared" si="59"/>
        <v>197292.03999999998</v>
      </c>
      <c r="Z68" s="104">
        <v>131213.01999999999</v>
      </c>
      <c r="AA68" s="104">
        <v>43964.959999999999</v>
      </c>
      <c r="AB68" s="104">
        <v>3364.06</v>
      </c>
      <c r="AC68" s="104">
        <v>3250</v>
      </c>
      <c r="AD68" s="104">
        <v>15500</v>
      </c>
    </row>
    <row r="69" spans="1:30" x14ac:dyDescent="0.25">
      <c r="A69" s="152"/>
      <c r="B69" s="103" t="str">
        <f>IF(L!$A$1=1,L!B190,IF(L!$A$1=2,L!C190,L!D190))</f>
        <v>2019 Dhjetor</v>
      </c>
      <c r="C69" s="131">
        <f t="shared" si="50"/>
        <v>3376379.9000000004</v>
      </c>
      <c r="D69" s="104"/>
      <c r="E69" s="104"/>
      <c r="F69" s="104"/>
      <c r="G69" s="104"/>
      <c r="H69" s="104"/>
      <c r="I69" s="104"/>
      <c r="J69" s="104"/>
      <c r="K69" s="104"/>
      <c r="L69" s="104"/>
      <c r="M69" s="104">
        <f t="shared" si="57"/>
        <v>1905433.7800000003</v>
      </c>
      <c r="N69" s="104">
        <f>817116.48-T69-Z69</f>
        <v>119991.34000000001</v>
      </c>
      <c r="O69" s="104">
        <f>460095.65-U69-AA69</f>
        <v>214273.04000000004</v>
      </c>
      <c r="P69" s="104">
        <f>37013.15-V69-AB69</f>
        <v>18170.45</v>
      </c>
      <c r="Q69" s="104">
        <f>19487-AC69</f>
        <v>2187</v>
      </c>
      <c r="R69" s="104">
        <f>2042667.62-X69-AD69</f>
        <v>1550811.9500000002</v>
      </c>
      <c r="S69" s="131">
        <f t="shared" si="58"/>
        <v>1162502.81</v>
      </c>
      <c r="T69" s="104">
        <v>570161.85</v>
      </c>
      <c r="U69" s="104">
        <v>215021.47</v>
      </c>
      <c r="V69" s="104">
        <v>14399.76</v>
      </c>
      <c r="W69" s="104"/>
      <c r="X69" s="104">
        <v>362919.73</v>
      </c>
      <c r="Y69" s="131">
        <f t="shared" si="59"/>
        <v>308443.31</v>
      </c>
      <c r="Z69" s="104">
        <v>126963.29</v>
      </c>
      <c r="AA69" s="104">
        <v>30801.14</v>
      </c>
      <c r="AB69" s="104">
        <v>4442.9399999999996</v>
      </c>
      <c r="AC69" s="104">
        <v>17300</v>
      </c>
      <c r="AD69" s="104">
        <v>128935.94</v>
      </c>
    </row>
    <row r="70" spans="1:30" x14ac:dyDescent="0.25">
      <c r="A70" s="153"/>
      <c r="B70" s="124" t="str">
        <f>IF(L!$A$1=1,L!B191,IF(L!$A$1=2,L!C191,L!D191))</f>
        <v>Gjithsej 2019</v>
      </c>
      <c r="C70" s="123">
        <f t="shared" si="50"/>
        <v>17767651.860000003</v>
      </c>
      <c r="D70" s="123">
        <f>E70+M70</f>
        <v>7588819.1703600017</v>
      </c>
      <c r="E70" s="123">
        <f>F70+G70+H70+I70+L70</f>
        <v>786598.25035999995</v>
      </c>
      <c r="F70" s="123">
        <f t="shared" ref="F70:L70" si="60">SUM(F58:F69)</f>
        <v>199842.55405999999</v>
      </c>
      <c r="G70" s="123">
        <f t="shared" si="60"/>
        <v>89609.018400000001</v>
      </c>
      <c r="H70" s="123">
        <f t="shared" si="60"/>
        <v>9770.3237100000006</v>
      </c>
      <c r="I70" s="123">
        <f t="shared" si="60"/>
        <v>309270.71338999999</v>
      </c>
      <c r="J70" s="121">
        <f t="shared" si="60"/>
        <v>249135.98098000002</v>
      </c>
      <c r="K70" s="121">
        <f t="shared" si="60"/>
        <v>60134.732409999997</v>
      </c>
      <c r="L70" s="121">
        <f t="shared" si="60"/>
        <v>178105.64079999999</v>
      </c>
      <c r="M70" s="121">
        <f>SUM(N70:R70)</f>
        <v>6802220.9200000018</v>
      </c>
      <c r="N70" s="121">
        <f t="shared" ref="N70:R70" si="61">SUM(N58:N69)</f>
        <v>1426769.9700000004</v>
      </c>
      <c r="O70" s="121">
        <f t="shared" si="61"/>
        <v>1356751.62</v>
      </c>
      <c r="P70" s="121">
        <f t="shared" si="61"/>
        <v>149506.41000000003</v>
      </c>
      <c r="Q70" s="121">
        <f t="shared" si="61"/>
        <v>69907</v>
      </c>
      <c r="R70" s="121">
        <f t="shared" si="61"/>
        <v>3799285.9200000004</v>
      </c>
      <c r="S70" s="121">
        <f>SUM(T70:X70)</f>
        <v>8686631.6899999995</v>
      </c>
      <c r="T70" s="121">
        <f t="shared" ref="T70:X70" si="62">SUM(T58:T69)</f>
        <v>6883061.3599999994</v>
      </c>
      <c r="U70" s="121">
        <f t="shared" si="62"/>
        <v>914127.75</v>
      </c>
      <c r="V70" s="121">
        <f t="shared" si="62"/>
        <v>89341.95</v>
      </c>
      <c r="W70" s="121">
        <f t="shared" si="62"/>
        <v>35110</v>
      </c>
      <c r="X70" s="121">
        <f t="shared" si="62"/>
        <v>764990.63</v>
      </c>
      <c r="Y70" s="121">
        <f>SUM(Z70:AD70)</f>
        <v>2278799.2500000005</v>
      </c>
      <c r="Z70" s="121">
        <f t="shared" ref="Z70:AD70" si="63">SUM(Z58:Z69)</f>
        <v>1626436.0100000002</v>
      </c>
      <c r="AA70" s="121">
        <f t="shared" si="63"/>
        <v>296642.64</v>
      </c>
      <c r="AB70" s="121">
        <f t="shared" si="63"/>
        <v>38370.200000000004</v>
      </c>
      <c r="AC70" s="121">
        <f t="shared" si="63"/>
        <v>91650</v>
      </c>
      <c r="AD70" s="121">
        <f t="shared" si="63"/>
        <v>225700.40000000002</v>
      </c>
    </row>
    <row r="71" spans="1:30" x14ac:dyDescent="0.25">
      <c r="A71" s="151">
        <v>2020</v>
      </c>
      <c r="B71" s="103" t="str">
        <f>IF(L!$A$1=1,L!B192,IF(L!$A$1=2,L!C192,L!D192))</f>
        <v>2020 Janar</v>
      </c>
      <c r="C71" s="131">
        <f t="shared" ref="C71:C83" si="64">M71+S71+Y71</f>
        <v>937011.79</v>
      </c>
      <c r="D71" s="104">
        <f>E71+M71</f>
        <v>244717.23921000009</v>
      </c>
      <c r="E71" s="104">
        <f>F71+G71+H71+I71+L71</f>
        <v>57713.659209999998</v>
      </c>
      <c r="F71" s="104">
        <v>24846.235489999999</v>
      </c>
      <c r="G71" s="104">
        <v>1301.9379300000001</v>
      </c>
      <c r="H71" s="104">
        <v>469.39997</v>
      </c>
      <c r="I71" s="105">
        <f t="shared" ref="I71:I74" si="65">SUM(J71:K71)</f>
        <v>30409.931329999999</v>
      </c>
      <c r="J71" s="104">
        <v>27498.698</v>
      </c>
      <c r="K71" s="104">
        <v>2911.23333</v>
      </c>
      <c r="L71" s="104">
        <v>686.15449000000001</v>
      </c>
      <c r="M71" s="104">
        <f t="shared" ref="M71:M76" si="66">SUM(N71:R71)</f>
        <v>187003.58000000007</v>
      </c>
      <c r="N71" s="104">
        <f>813047.31-T71-Z71</f>
        <v>113587.71000000005</v>
      </c>
      <c r="O71" s="104">
        <f>105219.73-U71-AA71</f>
        <v>60908.479999999996</v>
      </c>
      <c r="P71" s="104">
        <f>18744.75-V71-AB71</f>
        <v>12507.39</v>
      </c>
      <c r="Q71" s="104"/>
      <c r="R71" s="104"/>
      <c r="S71" s="131">
        <f t="shared" ref="S71:S76" si="67">SUM(T71:X71)</f>
        <v>605919.5</v>
      </c>
      <c r="T71" s="104">
        <v>567853.13</v>
      </c>
      <c r="U71" s="104">
        <v>34726.14</v>
      </c>
      <c r="V71" s="104">
        <v>3340.23</v>
      </c>
      <c r="W71" s="104"/>
      <c r="X71" s="104"/>
      <c r="Y71" s="131">
        <f t="shared" ref="Y71:Y76" si="68">SUM(Z71:AD71)</f>
        <v>144088.71000000002</v>
      </c>
      <c r="Z71" s="104">
        <v>131606.47</v>
      </c>
      <c r="AA71" s="104">
        <v>9585.11</v>
      </c>
      <c r="AB71" s="104">
        <v>2897.13</v>
      </c>
      <c r="AC71" s="104"/>
      <c r="AD71" s="104"/>
    </row>
    <row r="72" spans="1:30" x14ac:dyDescent="0.25">
      <c r="A72" s="151"/>
      <c r="B72" s="103" t="str">
        <f>IF(L!$A$1=1,L!B193,IF(L!$A$1=2,L!C193,L!D193))</f>
        <v>2020 Shkurt</v>
      </c>
      <c r="C72" s="131">
        <f t="shared" si="64"/>
        <v>973431.99</v>
      </c>
      <c r="D72" s="104">
        <f t="shared" ref="D72:D75" si="69">E72+M72</f>
        <v>273520.32055999991</v>
      </c>
      <c r="E72" s="104">
        <f t="shared" ref="E72:E75" si="70">F72+G72+H72+I72+L72</f>
        <v>87018.600559999992</v>
      </c>
      <c r="F72" s="104">
        <v>25348.27275</v>
      </c>
      <c r="G72" s="104">
        <v>12435.78448</v>
      </c>
      <c r="H72" s="104">
        <v>2584.5733500000001</v>
      </c>
      <c r="I72" s="105">
        <f t="shared" si="65"/>
        <v>35523.365980000002</v>
      </c>
      <c r="J72" s="104">
        <v>29987.650020000001</v>
      </c>
      <c r="K72" s="104">
        <v>5535.7159600000005</v>
      </c>
      <c r="L72" s="104">
        <v>11126.603999999999</v>
      </c>
      <c r="M72" s="104">
        <f t="shared" si="66"/>
        <v>186501.71999999991</v>
      </c>
      <c r="N72" s="104">
        <f>810839.86-T72-Z72</f>
        <v>113149.42999999993</v>
      </c>
      <c r="O72" s="104">
        <f>127936.04-U72-AA72</f>
        <v>53155.34</v>
      </c>
      <c r="P72" s="104">
        <f>27746.19-V72-AB72</f>
        <v>14237.050000000001</v>
      </c>
      <c r="Q72" s="104"/>
      <c r="R72" s="104">
        <v>5959.9</v>
      </c>
      <c r="S72" s="131">
        <f t="shared" si="67"/>
        <v>634942.04</v>
      </c>
      <c r="T72" s="104">
        <v>565423.06000000006</v>
      </c>
      <c r="U72" s="104">
        <v>59378.51</v>
      </c>
      <c r="V72" s="104">
        <v>10140.469999999999</v>
      </c>
      <c r="W72" s="104"/>
      <c r="X72" s="104"/>
      <c r="Y72" s="131">
        <f t="shared" si="68"/>
        <v>151988.23000000001</v>
      </c>
      <c r="Z72" s="104">
        <v>132267.37</v>
      </c>
      <c r="AA72" s="104">
        <v>15402.19</v>
      </c>
      <c r="AB72" s="104">
        <v>3368.67</v>
      </c>
      <c r="AC72" s="104">
        <v>950</v>
      </c>
      <c r="AD72" s="104"/>
    </row>
    <row r="73" spans="1:30" x14ac:dyDescent="0.25">
      <c r="A73" s="151"/>
      <c r="B73" s="103" t="str">
        <f>IF(L!$A$1=1,L!B194,IF(L!$A$1=2,L!C194,L!D194))</f>
        <v xml:space="preserve">2020 Mars </v>
      </c>
      <c r="C73" s="131">
        <f t="shared" si="64"/>
        <v>1118385.3900000001</v>
      </c>
      <c r="D73" s="104">
        <f t="shared" si="69"/>
        <v>445895.35101999994</v>
      </c>
      <c r="E73" s="104">
        <f t="shared" si="70"/>
        <v>110996.73102000001</v>
      </c>
      <c r="F73" s="104">
        <v>24671.084579999999</v>
      </c>
      <c r="G73" s="104">
        <f>13602.18788+3.63797880709171E-12</f>
        <v>13602.187880000003</v>
      </c>
      <c r="H73" s="104">
        <v>1470.13113</v>
      </c>
      <c r="I73" s="105">
        <f t="shared" si="65"/>
        <v>41293.796000000002</v>
      </c>
      <c r="J73" s="104">
        <v>31926.155299999999</v>
      </c>
      <c r="K73" s="104">
        <v>9367.6406999999999</v>
      </c>
      <c r="L73" s="104">
        <v>29959.531429999999</v>
      </c>
      <c r="M73" s="104">
        <f t="shared" si="66"/>
        <v>334898.61999999994</v>
      </c>
      <c r="N73" s="104">
        <f>838622.32-T73-Z73</f>
        <v>145051.9499999999</v>
      </c>
      <c r="O73" s="104">
        <f>227497.92-U73-AA73</f>
        <v>146520.09</v>
      </c>
      <c r="P73" s="104">
        <f>24475.66-V73-AB73</f>
        <v>15537.089999999998</v>
      </c>
      <c r="Q73" s="104"/>
      <c r="R73" s="104">
        <v>27789.49</v>
      </c>
      <c r="S73" s="131">
        <f t="shared" si="67"/>
        <v>623348.39000000013</v>
      </c>
      <c r="T73" s="104">
        <v>562953.80000000005</v>
      </c>
      <c r="U73" s="104">
        <v>54747.8</v>
      </c>
      <c r="V73" s="104">
        <v>5646.79</v>
      </c>
      <c r="W73" s="104"/>
      <c r="X73" s="104"/>
      <c r="Y73" s="131">
        <f t="shared" si="68"/>
        <v>160138.38</v>
      </c>
      <c r="Z73" s="104">
        <v>130616.57</v>
      </c>
      <c r="AA73" s="104">
        <v>26230.03</v>
      </c>
      <c r="AB73" s="104">
        <v>3291.78</v>
      </c>
      <c r="AC73" s="104"/>
      <c r="AD73" s="104"/>
    </row>
    <row r="74" spans="1:30" x14ac:dyDescent="0.25">
      <c r="A74" s="151"/>
      <c r="B74" s="103" t="str">
        <f>IF(L!$A$1=1,L!B195,IF(L!$A$1=2,L!C195,L!D195))</f>
        <v>2020 Prill</v>
      </c>
      <c r="C74" s="131">
        <f t="shared" si="64"/>
        <v>1324252.3699999999</v>
      </c>
      <c r="D74" s="104">
        <f t="shared" si="69"/>
        <v>507675.02501999994</v>
      </c>
      <c r="E74" s="104">
        <f t="shared" si="70"/>
        <v>99928.195020000014</v>
      </c>
      <c r="F74" s="104">
        <v>25058.463449999999</v>
      </c>
      <c r="G74" s="104">
        <v>13938.50973</v>
      </c>
      <c r="H74" s="104">
        <v>1722.8931499999999</v>
      </c>
      <c r="I74" s="105">
        <f t="shared" si="65"/>
        <v>40998.962180000002</v>
      </c>
      <c r="J74" s="104">
        <v>31609.135450000002</v>
      </c>
      <c r="K74" s="104">
        <f>9389.82673</f>
        <v>9389.8267300000007</v>
      </c>
      <c r="L74" s="104">
        <v>18209.36651</v>
      </c>
      <c r="M74" s="104">
        <f t="shared" si="66"/>
        <v>407746.82999999996</v>
      </c>
      <c r="N74" s="104">
        <f>893674.44-T74-Z74</f>
        <v>124458.11999999997</v>
      </c>
      <c r="O74" s="104">
        <f>205406.44-U74-AA74</f>
        <v>134477</v>
      </c>
      <c r="P74" s="104">
        <f>22570.34-V74-AB74</f>
        <v>11210.56</v>
      </c>
      <c r="Q74" s="104">
        <v>900</v>
      </c>
      <c r="R74" s="104">
        <f>201701.15-AD74</f>
        <v>136701.15</v>
      </c>
      <c r="S74" s="131">
        <f t="shared" si="67"/>
        <v>624286.44999999995</v>
      </c>
      <c r="T74" s="104">
        <v>578159.61</v>
      </c>
      <c r="U74" s="104">
        <v>37424.839999999997</v>
      </c>
      <c r="V74" s="104">
        <v>8702</v>
      </c>
      <c r="W74" s="104"/>
      <c r="X74" s="104"/>
      <c r="Y74" s="131">
        <f t="shared" si="68"/>
        <v>292219.08999999997</v>
      </c>
      <c r="Z74" s="104">
        <v>191056.71</v>
      </c>
      <c r="AA74" s="104">
        <v>33504.6</v>
      </c>
      <c r="AB74" s="104">
        <v>2657.78</v>
      </c>
      <c r="AC74" s="104"/>
      <c r="AD74" s="104">
        <v>65000</v>
      </c>
    </row>
    <row r="75" spans="1:30" x14ac:dyDescent="0.25">
      <c r="A75" s="151"/>
      <c r="B75" s="103" t="str">
        <f>IF(L!$A$1=1,L!B196,IF(L!$A$1=2,L!C196,L!D196))</f>
        <v>2020 Maj</v>
      </c>
      <c r="C75" s="131">
        <f t="shared" si="64"/>
        <v>2039951.4799999997</v>
      </c>
      <c r="D75" s="104">
        <f t="shared" si="69"/>
        <v>892935.13748999976</v>
      </c>
      <c r="E75" s="104">
        <f t="shared" si="70"/>
        <v>108203.85748999999</v>
      </c>
      <c r="F75" s="104">
        <v>25176.423500000001</v>
      </c>
      <c r="G75" s="104">
        <v>14788.43672</v>
      </c>
      <c r="H75" s="104">
        <v>1029.37871</v>
      </c>
      <c r="I75" s="105">
        <f>SUM(J75:K75)</f>
        <v>39702.245540000004</v>
      </c>
      <c r="J75" s="104">
        <v>31959.173699999999</v>
      </c>
      <c r="K75" s="104">
        <f>7742.36933+0.70251</f>
        <v>7743.0718400000005</v>
      </c>
      <c r="L75" s="104">
        <v>27507.373019999999</v>
      </c>
      <c r="M75" s="104">
        <f t="shared" si="66"/>
        <v>784731.2799999998</v>
      </c>
      <c r="N75" s="104">
        <f>890605.71-T75-Z75</f>
        <v>134114.20999999993</v>
      </c>
      <c r="O75" s="104">
        <f>151562.15-U75-AA75</f>
        <v>105224.42</v>
      </c>
      <c r="P75" s="104">
        <f>11435.78-V75-AB75</f>
        <v>8629.61</v>
      </c>
      <c r="Q75" s="104">
        <v>500</v>
      </c>
      <c r="R75" s="104">
        <f>984847.84-X75-AD75</f>
        <v>536263.03999999992</v>
      </c>
      <c r="S75" s="131">
        <f t="shared" si="67"/>
        <v>812840.4800000001</v>
      </c>
      <c r="T75" s="104">
        <v>567072.66</v>
      </c>
      <c r="U75" s="104">
        <v>32691</v>
      </c>
      <c r="V75" s="104">
        <v>401.3</v>
      </c>
      <c r="W75" s="104">
        <v>1000</v>
      </c>
      <c r="X75" s="104">
        <v>211675.51999999999</v>
      </c>
      <c r="Y75" s="131">
        <f t="shared" si="68"/>
        <v>442379.72</v>
      </c>
      <c r="Z75" s="104">
        <v>189418.84</v>
      </c>
      <c r="AA75" s="104">
        <v>13646.73</v>
      </c>
      <c r="AB75" s="104">
        <v>2404.87</v>
      </c>
      <c r="AC75" s="104"/>
      <c r="AD75" s="104">
        <v>236909.28</v>
      </c>
    </row>
    <row r="76" spans="1:30" x14ac:dyDescent="0.25">
      <c r="A76" s="151"/>
      <c r="B76" s="103" t="str">
        <f>IF(L!$A$1=1,L!B197,IF(L!$A$1=2,L!C197,L!D197))</f>
        <v>2020 Qershor</v>
      </c>
      <c r="C76" s="131">
        <f t="shared" si="64"/>
        <v>1416218.1199999999</v>
      </c>
      <c r="D76" s="104">
        <f>E76+M76</f>
        <v>608598.66577999992</v>
      </c>
      <c r="E76" s="104">
        <f>F76+G76+H76+I76+L76</f>
        <v>106702.39577999998</v>
      </c>
      <c r="F76" s="104">
        <v>25102.682019999993</v>
      </c>
      <c r="G76" s="104">
        <v>10844.51352</v>
      </c>
      <c r="H76" s="104">
        <v>772.52707000000009</v>
      </c>
      <c r="I76" s="105">
        <f>SUM(J76:K76)</f>
        <v>39202.052119999978</v>
      </c>
      <c r="J76" s="104">
        <v>32126.547020000002</v>
      </c>
      <c r="K76" s="104">
        <v>7075.5050999999803</v>
      </c>
      <c r="L76" s="104">
        <v>30780.621050000002</v>
      </c>
      <c r="M76" s="104">
        <f t="shared" si="66"/>
        <v>501896.26999999996</v>
      </c>
      <c r="N76" s="104">
        <f>818694.32-T76-Z76</f>
        <v>143899.91999999998</v>
      </c>
      <c r="O76" s="104">
        <f>142168.52-U76-AA76</f>
        <v>93360.409999999974</v>
      </c>
      <c r="P76" s="104">
        <f>18450.91-V76-AB76</f>
        <v>9726.5399999999991</v>
      </c>
      <c r="Q76" s="104">
        <f>3315-AC76</f>
        <v>3015</v>
      </c>
      <c r="R76" s="104">
        <f>433589.37-X76</f>
        <v>251894.39999999999</v>
      </c>
      <c r="S76" s="131">
        <f t="shared" si="67"/>
        <v>766129.16999999993</v>
      </c>
      <c r="T76" s="104">
        <v>536927.1</v>
      </c>
      <c r="U76" s="104">
        <v>38782.730000000003</v>
      </c>
      <c r="V76" s="104">
        <v>8724.3700000000008</v>
      </c>
      <c r="W76" s="104"/>
      <c r="X76" s="104">
        <v>181694.97</v>
      </c>
      <c r="Y76" s="131">
        <f t="shared" si="68"/>
        <v>148192.68</v>
      </c>
      <c r="Z76" s="104">
        <v>137867.29999999999</v>
      </c>
      <c r="AA76" s="104">
        <v>10025.379999999999</v>
      </c>
      <c r="AB76" s="104"/>
      <c r="AC76" s="104">
        <v>300</v>
      </c>
      <c r="AD76" s="104"/>
    </row>
    <row r="77" spans="1:30" s="132" customFormat="1" x14ac:dyDescent="0.25">
      <c r="A77" s="151"/>
      <c r="B77" s="103" t="str">
        <f>IF(L!$A$1=1,L!B198,IF(L!$A$1=2,L!C198,L!D198))</f>
        <v>2020 Korrik</v>
      </c>
      <c r="C77" s="131">
        <f t="shared" si="64"/>
        <v>1317904.79</v>
      </c>
      <c r="D77" s="104">
        <f>E77+M77</f>
        <v>502904.54738000012</v>
      </c>
      <c r="E77" s="104">
        <f>F77+G77+H77+I77+L77</f>
        <v>109225.46738000003</v>
      </c>
      <c r="F77" s="104">
        <v>24978.209360000001</v>
      </c>
      <c r="G77" s="104">
        <v>11062.969240000006</v>
      </c>
      <c r="H77" s="104">
        <v>935.6237799999999</v>
      </c>
      <c r="I77" s="105">
        <f>SUM(J77:K77)</f>
        <v>45737.674990000021</v>
      </c>
      <c r="J77" s="104">
        <v>36228.048600000002</v>
      </c>
      <c r="K77" s="104">
        <v>9509.6263900000195</v>
      </c>
      <c r="L77" s="104">
        <v>26510.990009999994</v>
      </c>
      <c r="M77" s="104">
        <f>SUM(N77:R77)</f>
        <v>393679.08000000007</v>
      </c>
      <c r="N77" s="104">
        <f>804292.01-T77-Z77</f>
        <v>114865.27999999998</v>
      </c>
      <c r="O77" s="104">
        <f>171115.75-U77-AA77</f>
        <v>118912.53000000001</v>
      </c>
      <c r="P77" s="104">
        <f>9336.16-AB77</f>
        <v>7086.9699999999993</v>
      </c>
      <c r="Q77" s="104">
        <f>66313.8-W77-AC77</f>
        <v>47405</v>
      </c>
      <c r="R77" s="104">
        <f>266847.07-X77-AD77</f>
        <v>105409.30000000002</v>
      </c>
      <c r="S77" s="131">
        <f>SUM(T77:X77)</f>
        <v>653796.29</v>
      </c>
      <c r="T77" s="104">
        <v>560902.53</v>
      </c>
      <c r="U77" s="104">
        <v>35032.019999999997</v>
      </c>
      <c r="V77" s="104"/>
      <c r="W77" s="104">
        <v>6700</v>
      </c>
      <c r="X77" s="104">
        <v>51161.74</v>
      </c>
      <c r="Y77" s="131">
        <f>SUM(Z77:AD77)</f>
        <v>270429.42</v>
      </c>
      <c r="Z77" s="104">
        <v>128524.2</v>
      </c>
      <c r="AA77" s="104">
        <v>17171.2</v>
      </c>
      <c r="AB77" s="104">
        <v>2249.19</v>
      </c>
      <c r="AC77" s="104">
        <v>12208.8</v>
      </c>
      <c r="AD77" s="104">
        <v>110276.03</v>
      </c>
    </row>
    <row r="78" spans="1:30" x14ac:dyDescent="0.25">
      <c r="A78" s="151"/>
      <c r="B78" s="103" t="str">
        <f>IF(L!$A$1=1,L!B199,IF(L!$A$1=2,L!C199,L!D199))</f>
        <v>2020 Gusht</v>
      </c>
      <c r="C78" s="131">
        <f t="shared" si="64"/>
        <v>1421374.23</v>
      </c>
      <c r="D78" s="104">
        <f>E78+M78</f>
        <v>389668.43390000006</v>
      </c>
      <c r="E78" s="104">
        <f>F78+G78+H78+I78+L78</f>
        <v>106809.34389999999</v>
      </c>
      <c r="F78" s="104">
        <v>24661.182910000003</v>
      </c>
      <c r="G78" s="104">
        <v>11634.678899999999</v>
      </c>
      <c r="H78" s="104">
        <v>785.79655000000093</v>
      </c>
      <c r="I78" s="105">
        <f>SUM(J78:K78)</f>
        <v>36402.685249999995</v>
      </c>
      <c r="J78" s="104">
        <v>27800.572889999999</v>
      </c>
      <c r="K78" s="104">
        <v>8602.1123599999992</v>
      </c>
      <c r="L78" s="104">
        <v>33325.000289999996</v>
      </c>
      <c r="M78" s="104">
        <f>SUM(N78:R78)</f>
        <v>282859.09000000008</v>
      </c>
      <c r="N78" s="104">
        <f>905401.29-T78-Z78</f>
        <v>113695.94000000009</v>
      </c>
      <c r="O78" s="104">
        <f>269407.7-U78-AA78</f>
        <v>90650.06</v>
      </c>
      <c r="P78" s="104">
        <f>20270.07-V78-AB78</f>
        <v>12349.519999999999</v>
      </c>
      <c r="Q78" s="104">
        <f>13240-W78-AC78</f>
        <v>3230</v>
      </c>
      <c r="R78" s="104">
        <f>213055.17-X78</f>
        <v>62933.570000000007</v>
      </c>
      <c r="S78" s="131">
        <f>SUM(T78:X78)</f>
        <v>800059.47</v>
      </c>
      <c r="T78" s="104">
        <v>562365.32999999996</v>
      </c>
      <c r="U78" s="104">
        <v>79173.64</v>
      </c>
      <c r="V78" s="104">
        <v>2488.9</v>
      </c>
      <c r="W78" s="104">
        <v>5910</v>
      </c>
      <c r="X78" s="104">
        <v>150121.60000000001</v>
      </c>
      <c r="Y78" s="131">
        <f>SUM(Z78:AD78)</f>
        <v>338455.67000000004</v>
      </c>
      <c r="Z78" s="104">
        <v>229340.02</v>
      </c>
      <c r="AA78" s="104">
        <v>99584</v>
      </c>
      <c r="AB78" s="104">
        <v>5431.65</v>
      </c>
      <c r="AC78" s="104">
        <v>4100</v>
      </c>
      <c r="AD78" s="104"/>
    </row>
    <row r="79" spans="1:30" x14ac:dyDescent="0.25">
      <c r="A79" s="151"/>
      <c r="B79" s="103" t="str">
        <f>IF(L!$A$1=1,L!B200,IF(L!$A$1=2,L!C200,L!D200))</f>
        <v>2020 Shtator</v>
      </c>
      <c r="C79" s="131">
        <f t="shared" si="64"/>
        <v>1810156.7899999998</v>
      </c>
      <c r="D79" s="104"/>
      <c r="E79" s="104"/>
      <c r="F79" s="104"/>
      <c r="G79" s="104"/>
      <c r="H79" s="104"/>
      <c r="I79" s="104"/>
      <c r="J79" s="104"/>
      <c r="K79" s="104"/>
      <c r="L79" s="104"/>
      <c r="M79" s="104">
        <f t="shared" ref="M79:M82" si="71">SUM(N79:R79)</f>
        <v>479304.0799999999</v>
      </c>
      <c r="N79" s="104">
        <f>815348.24-T79-Z79</f>
        <v>107051.56999999998</v>
      </c>
      <c r="O79" s="104">
        <f>667103.95-U79-AA79</f>
        <v>152729.70999999993</v>
      </c>
      <c r="P79" s="104">
        <f>14234-V79-AB79</f>
        <v>9498.5199999999986</v>
      </c>
      <c r="Q79" s="104">
        <f>21685-W79-AC79</f>
        <v>1395</v>
      </c>
      <c r="R79" s="104">
        <f>291785.6-X79-AD79</f>
        <v>208629.27999999997</v>
      </c>
      <c r="S79" s="131">
        <f t="shared" ref="S79:S82" si="72">SUM(T79:X79)</f>
        <v>1157486.49</v>
      </c>
      <c r="T79" s="104">
        <v>579425.02</v>
      </c>
      <c r="U79" s="104">
        <v>495217.45</v>
      </c>
      <c r="V79" s="104">
        <v>1942.2</v>
      </c>
      <c r="W79" s="104">
        <v>16090</v>
      </c>
      <c r="X79" s="104">
        <v>64811.82</v>
      </c>
      <c r="Y79" s="131">
        <f t="shared" ref="Y79:Y82" si="73">SUM(Z79:AD79)</f>
        <v>173366.22</v>
      </c>
      <c r="Z79" s="104">
        <v>128871.65</v>
      </c>
      <c r="AA79" s="104">
        <v>19156.79</v>
      </c>
      <c r="AB79" s="104">
        <v>2793.28</v>
      </c>
      <c r="AC79" s="104">
        <v>4200</v>
      </c>
      <c r="AD79" s="104">
        <v>18344.5</v>
      </c>
    </row>
    <row r="80" spans="1:30" x14ac:dyDescent="0.25">
      <c r="A80" s="152"/>
      <c r="B80" s="103" t="str">
        <f>IF(L!$A$1=1,L!B201,IF(L!$A$1=2,L!C201,L!D201))</f>
        <v>2020 Tetor</v>
      </c>
      <c r="C80" s="131">
        <f t="shared" si="64"/>
        <v>1630865.32</v>
      </c>
      <c r="D80" s="104"/>
      <c r="E80" s="104"/>
      <c r="F80" s="104"/>
      <c r="G80" s="104"/>
      <c r="H80" s="104"/>
      <c r="I80" s="104"/>
      <c r="J80" s="104"/>
      <c r="K80" s="104"/>
      <c r="L80" s="104"/>
      <c r="M80" s="104">
        <f t="shared" si="71"/>
        <v>769785.25</v>
      </c>
      <c r="N80" s="104">
        <f>811598.49-T80-Z80</f>
        <v>111362.59999999996</v>
      </c>
      <c r="O80" s="104">
        <f>240509.66-U80-AA80</f>
        <v>196827.79</v>
      </c>
      <c r="P80" s="104">
        <f>20286.94-V80-AB80</f>
        <v>11045.8</v>
      </c>
      <c r="Q80" s="104">
        <f>49190-W80-AC80</f>
        <v>8850</v>
      </c>
      <c r="R80" s="104">
        <f>509280.23-X80</f>
        <v>441699.06</v>
      </c>
      <c r="S80" s="131">
        <f t="shared" si="72"/>
        <v>663351.08000000007</v>
      </c>
      <c r="T80" s="104">
        <v>573237.65</v>
      </c>
      <c r="U80" s="104">
        <v>14582.27</v>
      </c>
      <c r="V80" s="104">
        <v>7059.99</v>
      </c>
      <c r="W80" s="104">
        <v>890</v>
      </c>
      <c r="X80" s="104">
        <v>67581.17</v>
      </c>
      <c r="Y80" s="131">
        <f t="shared" si="73"/>
        <v>197728.99</v>
      </c>
      <c r="Z80" s="104">
        <v>126998.24</v>
      </c>
      <c r="AA80" s="104">
        <v>29099.599999999999</v>
      </c>
      <c r="AB80" s="104">
        <v>2181.15</v>
      </c>
      <c r="AC80" s="104">
        <v>39450</v>
      </c>
      <c r="AD80" s="104"/>
    </row>
    <row r="81" spans="1:30" x14ac:dyDescent="0.25">
      <c r="A81" s="152"/>
      <c r="B81" s="103" t="str">
        <f>IF(L!$A$1=1,L!B202,IF(L!$A$1=2,L!C202,L!D202))</f>
        <v xml:space="preserve">2020 Nëntor </v>
      </c>
      <c r="C81" s="131">
        <f t="shared" si="64"/>
        <v>2140831.12</v>
      </c>
      <c r="D81" s="104"/>
      <c r="E81" s="104"/>
      <c r="F81" s="104"/>
      <c r="G81" s="104"/>
      <c r="H81" s="104"/>
      <c r="I81" s="104"/>
      <c r="J81" s="104"/>
      <c r="K81" s="104"/>
      <c r="L81" s="104"/>
      <c r="M81" s="104">
        <f t="shared" si="71"/>
        <v>787982.7300000001</v>
      </c>
      <c r="N81" s="104">
        <f>1021333.14-T81-Z81</f>
        <v>147362.45000000007</v>
      </c>
      <c r="O81" s="104">
        <f>333634.64-U81-AA81</f>
        <v>110603.96000000002</v>
      </c>
      <c r="P81" s="104">
        <f>18374.7-V81-AB81</f>
        <v>13385.140000000001</v>
      </c>
      <c r="Q81" s="104">
        <f>248378.58-W81-AC81</f>
        <v>138598.57999999999</v>
      </c>
      <c r="R81" s="104">
        <f>519110.06-X81-AD81</f>
        <v>378032.6</v>
      </c>
      <c r="S81" s="131">
        <f t="shared" si="72"/>
        <v>873929.39</v>
      </c>
      <c r="T81" s="104">
        <v>580422.19999999995</v>
      </c>
      <c r="U81" s="104">
        <v>192905.31</v>
      </c>
      <c r="V81" s="104">
        <v>2774.42</v>
      </c>
      <c r="W81" s="104">
        <v>7900</v>
      </c>
      <c r="X81" s="104">
        <v>89927.46</v>
      </c>
      <c r="Y81" s="131">
        <f t="shared" si="73"/>
        <v>478919</v>
      </c>
      <c r="Z81" s="104">
        <v>293548.49</v>
      </c>
      <c r="AA81" s="104">
        <v>30125.37</v>
      </c>
      <c r="AB81" s="104">
        <v>2215.14</v>
      </c>
      <c r="AC81" s="104">
        <v>101880</v>
      </c>
      <c r="AD81" s="104">
        <v>51150</v>
      </c>
    </row>
    <row r="82" spans="1:30" x14ac:dyDescent="0.25">
      <c r="A82" s="152"/>
      <c r="B82" s="103" t="str">
        <f>IF(L!$A$1=1,L!B203,IF(L!$A$1=2,L!C203,L!D203))</f>
        <v>2020 Dhjetor</v>
      </c>
      <c r="C82" s="131">
        <f t="shared" si="64"/>
        <v>2822287.15</v>
      </c>
      <c r="D82" s="104"/>
      <c r="E82" s="104"/>
      <c r="F82" s="104"/>
      <c r="G82" s="104"/>
      <c r="H82" s="104"/>
      <c r="I82" s="104"/>
      <c r="J82" s="104"/>
      <c r="K82" s="104"/>
      <c r="L82" s="104"/>
      <c r="M82" s="104">
        <f t="shared" si="71"/>
        <v>1622104.5799999998</v>
      </c>
      <c r="N82" s="104">
        <f>889550.27-T82-Z82</f>
        <v>110424.06999999998</v>
      </c>
      <c r="O82" s="104">
        <f>576009.99-U82-AA82</f>
        <v>380632.57999999996</v>
      </c>
      <c r="P82" s="104">
        <f>33696.29-V82-AB82</f>
        <v>16076.1</v>
      </c>
      <c r="Q82" s="104">
        <f>285826.69-W82-AC82</f>
        <v>238717.09000000003</v>
      </c>
      <c r="R82" s="104">
        <f>1037203.91-X82-AD82</f>
        <v>876254.74</v>
      </c>
      <c r="S82" s="131">
        <f t="shared" si="72"/>
        <v>793313.76000000013</v>
      </c>
      <c r="T82" s="104">
        <v>594623.05000000005</v>
      </c>
      <c r="U82" s="104">
        <v>135671.14000000001</v>
      </c>
      <c r="V82" s="104">
        <v>16168.29</v>
      </c>
      <c r="W82" s="104">
        <v>7709.6</v>
      </c>
      <c r="X82" s="104">
        <v>39141.68</v>
      </c>
      <c r="Y82" s="131">
        <f t="shared" si="73"/>
        <v>406868.80999999994</v>
      </c>
      <c r="Z82" s="104">
        <f>184503.15</f>
        <v>184503.15</v>
      </c>
      <c r="AA82" s="104">
        <v>59706.27</v>
      </c>
      <c r="AB82" s="104">
        <v>1451.9</v>
      </c>
      <c r="AC82" s="104">
        <v>39400</v>
      </c>
      <c r="AD82" s="104">
        <v>121807.49</v>
      </c>
    </row>
    <row r="83" spans="1:30" x14ac:dyDescent="0.25">
      <c r="A83" s="153"/>
      <c r="B83" s="124" t="str">
        <f>IF(L!$A$1=1,L!B204,IF(L!$A$1=2,L!C204,L!D204))</f>
        <v>Gjithsej 2020</v>
      </c>
      <c r="C83" s="123">
        <f t="shared" si="64"/>
        <v>18952670.539999999</v>
      </c>
      <c r="D83" s="123">
        <f>E83+M83</f>
        <v>7525091.3603600003</v>
      </c>
      <c r="E83" s="123">
        <f>F83+G83+H83+I83+L83</f>
        <v>786598.25035999995</v>
      </c>
      <c r="F83" s="123">
        <f t="shared" ref="F83:L83" si="74">SUM(F71:F82)</f>
        <v>199842.55405999999</v>
      </c>
      <c r="G83" s="123">
        <f t="shared" si="74"/>
        <v>89609.018400000001</v>
      </c>
      <c r="H83" s="123">
        <f t="shared" si="74"/>
        <v>9770.3237100000006</v>
      </c>
      <c r="I83" s="123">
        <f t="shared" si="74"/>
        <v>309270.71338999999</v>
      </c>
      <c r="J83" s="121">
        <f t="shared" si="74"/>
        <v>249135.98098000002</v>
      </c>
      <c r="K83" s="121">
        <f t="shared" si="74"/>
        <v>60134.732409999997</v>
      </c>
      <c r="L83" s="121">
        <f t="shared" si="74"/>
        <v>178105.64079999999</v>
      </c>
      <c r="M83" s="121">
        <f>SUM(N83:R83)</f>
        <v>6738493.1100000003</v>
      </c>
      <c r="N83" s="121">
        <f t="shared" ref="N83:R83" si="75">SUM(N71:N82)</f>
        <v>1479023.2499999998</v>
      </c>
      <c r="O83" s="121">
        <f t="shared" si="75"/>
        <v>1644002.37</v>
      </c>
      <c r="P83" s="121">
        <f t="shared" si="75"/>
        <v>141290.29</v>
      </c>
      <c r="Q83" s="121">
        <f t="shared" si="75"/>
        <v>442610.67000000004</v>
      </c>
      <c r="R83" s="121">
        <f t="shared" si="75"/>
        <v>3031566.5300000003</v>
      </c>
      <c r="S83" s="121">
        <f>SUM(T83:X83)</f>
        <v>9009402.5099999998</v>
      </c>
      <c r="T83" s="121">
        <f t="shared" ref="T83:X83" si="76">SUM(T71:T82)</f>
        <v>6829365.1400000006</v>
      </c>
      <c r="U83" s="121">
        <f t="shared" si="76"/>
        <v>1210332.8500000001</v>
      </c>
      <c r="V83" s="121">
        <f t="shared" si="76"/>
        <v>67388.959999999992</v>
      </c>
      <c r="W83" s="121">
        <f t="shared" si="76"/>
        <v>46199.6</v>
      </c>
      <c r="X83" s="121">
        <f t="shared" si="76"/>
        <v>856115.96</v>
      </c>
      <c r="Y83" s="121">
        <f>SUM(Z83:AD83)</f>
        <v>3204774.92</v>
      </c>
      <c r="Z83" s="121">
        <f t="shared" ref="Z83:AD83" si="77">SUM(Z71:Z82)</f>
        <v>2004619.0099999998</v>
      </c>
      <c r="AA83" s="121">
        <f t="shared" si="77"/>
        <v>363237.27</v>
      </c>
      <c r="AB83" s="121">
        <f t="shared" si="77"/>
        <v>30942.54</v>
      </c>
      <c r="AC83" s="121">
        <f t="shared" si="77"/>
        <v>202488.8</v>
      </c>
      <c r="AD83" s="121">
        <f t="shared" si="77"/>
        <v>603487.30000000005</v>
      </c>
    </row>
    <row r="84" spans="1:30" x14ac:dyDescent="0.25">
      <c r="A84" s="151">
        <v>2021</v>
      </c>
      <c r="B84" s="103" t="str">
        <f>IF(L!$A$1=1,L!B205,IF(L!$A$1=2,L!C205,L!D205))</f>
        <v>2021 Janar</v>
      </c>
      <c r="C84" s="131">
        <f t="shared" ref="C84:C96" si="78">M84+S84+Y84</f>
        <v>839618.93</v>
      </c>
      <c r="D84" s="104">
        <f>E84+M84</f>
        <v>348466.65921000007</v>
      </c>
      <c r="E84" s="104">
        <f>F84+G84+H84+I84+L84</f>
        <v>57713.659209999998</v>
      </c>
      <c r="F84" s="104">
        <v>24846.235489999999</v>
      </c>
      <c r="G84" s="104">
        <v>1301.9379300000001</v>
      </c>
      <c r="H84" s="104">
        <v>469.39997</v>
      </c>
      <c r="I84" s="105">
        <f t="shared" ref="I84:I87" si="79">SUM(J84:K84)</f>
        <v>30409.931329999999</v>
      </c>
      <c r="J84" s="104">
        <v>27498.698</v>
      </c>
      <c r="K84" s="104">
        <v>2911.23333</v>
      </c>
      <c r="L84" s="104">
        <v>686.15449000000001</v>
      </c>
      <c r="M84" s="104">
        <f t="shared" ref="M84:M89" si="80">SUM(N84:R84)</f>
        <v>290753.00000000006</v>
      </c>
      <c r="N84" s="104">
        <f>839618.93-T84-Z84</f>
        <v>290753.00000000006</v>
      </c>
      <c r="O84" s="104"/>
      <c r="P84" s="104"/>
      <c r="Q84" s="104"/>
      <c r="R84" s="104"/>
      <c r="S84" s="131">
        <f t="shared" ref="S84:S89" si="81">SUM(T84:X84)</f>
        <v>390139.07</v>
      </c>
      <c r="T84" s="104">
        <v>390139.07</v>
      </c>
      <c r="U84" s="104"/>
      <c r="V84" s="104"/>
      <c r="W84" s="104"/>
      <c r="X84" s="104"/>
      <c r="Y84" s="131">
        <f t="shared" ref="Y84:Y89" si="82">SUM(Z84:AD84)</f>
        <v>158726.85999999999</v>
      </c>
      <c r="Z84" s="104">
        <v>158726.85999999999</v>
      </c>
      <c r="AA84" s="104"/>
      <c r="AB84" s="104"/>
      <c r="AC84" s="104"/>
      <c r="AD84" s="104"/>
    </row>
    <row r="85" spans="1:30" x14ac:dyDescent="0.25">
      <c r="A85" s="151"/>
      <c r="B85" s="103" t="str">
        <f>IF(L!$A$1=1,L!B206,IF(L!$A$1=2,L!C206,L!D206))</f>
        <v>2021 Shkurt</v>
      </c>
      <c r="C85" s="131">
        <f t="shared" si="78"/>
        <v>426479.99</v>
      </c>
      <c r="D85" s="104">
        <f t="shared" ref="D85:D88" si="83">E85+M85</f>
        <v>283369.83055999997</v>
      </c>
      <c r="E85" s="104">
        <f t="shared" ref="E85:E88" si="84">F85+G85+H85+I85+L85</f>
        <v>87018.600559999992</v>
      </c>
      <c r="F85" s="104">
        <v>25348.27275</v>
      </c>
      <c r="G85" s="104">
        <v>12435.78448</v>
      </c>
      <c r="H85" s="104">
        <v>2584.5733500000001</v>
      </c>
      <c r="I85" s="105">
        <f t="shared" si="79"/>
        <v>35523.365980000002</v>
      </c>
      <c r="J85" s="104">
        <v>29987.650020000001</v>
      </c>
      <c r="K85" s="104">
        <v>5535.7159600000005</v>
      </c>
      <c r="L85" s="104">
        <v>11126.603999999999</v>
      </c>
      <c r="M85" s="104">
        <f t="shared" si="80"/>
        <v>196351.22999999998</v>
      </c>
      <c r="N85" s="104"/>
      <c r="O85" s="104">
        <f>315151.71-U85-AA85</f>
        <v>147751.75</v>
      </c>
      <c r="P85" s="104">
        <f>44244.24-V85-AB85</f>
        <v>33700.93</v>
      </c>
      <c r="Q85" s="104">
        <f>2700-AC85</f>
        <v>2500</v>
      </c>
      <c r="R85" s="104">
        <f>24826.55-X85</f>
        <v>12398.55</v>
      </c>
      <c r="S85" s="131">
        <f t="shared" si="81"/>
        <v>186576.04</v>
      </c>
      <c r="T85" s="104">
        <v>39557.49</v>
      </c>
      <c r="U85" s="104">
        <v>132297.41</v>
      </c>
      <c r="V85" s="104">
        <v>2293.14</v>
      </c>
      <c r="W85" s="104"/>
      <c r="X85" s="104">
        <v>12428</v>
      </c>
      <c r="Y85" s="131">
        <f t="shared" si="82"/>
        <v>43552.72</v>
      </c>
      <c r="Z85" s="104"/>
      <c r="AA85" s="104">
        <v>35102.550000000003</v>
      </c>
      <c r="AB85" s="104">
        <v>8250.17</v>
      </c>
      <c r="AC85" s="104">
        <v>200</v>
      </c>
      <c r="AD85" s="104"/>
    </row>
    <row r="86" spans="1:30" x14ac:dyDescent="0.25">
      <c r="A86" s="151"/>
      <c r="B86" s="103" t="str">
        <f>IF(L!$A$1=1,L!B207,IF(L!$A$1=2,L!C207,L!D207))</f>
        <v xml:space="preserve">2021 Mars </v>
      </c>
      <c r="C86" s="131">
        <f t="shared" si="78"/>
        <v>2279375.9700000002</v>
      </c>
      <c r="D86" s="104">
        <f t="shared" si="83"/>
        <v>1062837.0010200001</v>
      </c>
      <c r="E86" s="104">
        <f t="shared" si="84"/>
        <v>110996.73102000001</v>
      </c>
      <c r="F86" s="104">
        <v>24671.084579999999</v>
      </c>
      <c r="G86" s="104">
        <f>13602.18788+3.63797880709171E-12</f>
        <v>13602.187880000003</v>
      </c>
      <c r="H86" s="104">
        <v>1470.13113</v>
      </c>
      <c r="I86" s="105">
        <f t="shared" si="79"/>
        <v>41293.796000000002</v>
      </c>
      <c r="J86" s="104">
        <v>31926.155299999999</v>
      </c>
      <c r="K86" s="104">
        <v>9367.6406999999999</v>
      </c>
      <c r="L86" s="104">
        <v>29959.531429999999</v>
      </c>
      <c r="M86" s="104">
        <f t="shared" si="80"/>
        <v>951840.27000000014</v>
      </c>
      <c r="N86" s="104">
        <f>1803788.01-T86-Z86</f>
        <v>616072.1100000001</v>
      </c>
      <c r="O86" s="104">
        <f>263954.54-U86-AA86</f>
        <v>170136.77999999997</v>
      </c>
      <c r="P86" s="104">
        <f>31927.09-V86-AB86</f>
        <v>17925.050000000003</v>
      </c>
      <c r="Q86" s="104">
        <f>38060-AC86</f>
        <v>6060</v>
      </c>
      <c r="R86" s="104">
        <f>141646.33</f>
        <v>141646.32999999999</v>
      </c>
      <c r="S86" s="131">
        <f t="shared" si="81"/>
        <v>953790.32</v>
      </c>
      <c r="T86" s="104">
        <v>864161.2</v>
      </c>
      <c r="U86" s="104">
        <v>78920</v>
      </c>
      <c r="V86" s="104">
        <v>10709.12</v>
      </c>
      <c r="W86" s="104"/>
      <c r="X86" s="104"/>
      <c r="Y86" s="131">
        <f t="shared" si="82"/>
        <v>373745.38</v>
      </c>
      <c r="Z86" s="104">
        <v>323554.7</v>
      </c>
      <c r="AA86" s="104">
        <v>14897.76</v>
      </c>
      <c r="AB86" s="104">
        <v>3292.92</v>
      </c>
      <c r="AC86" s="104">
        <v>32000</v>
      </c>
      <c r="AD86" s="104"/>
    </row>
    <row r="87" spans="1:30" x14ac:dyDescent="0.25">
      <c r="A87" s="151"/>
      <c r="B87" s="103" t="str">
        <f>IF(L!$A$1=1,L!B208,IF(L!$A$1=2,L!C208,L!D208))</f>
        <v>2021 Prill</v>
      </c>
      <c r="C87" s="131">
        <f t="shared" si="78"/>
        <v>1341411.42</v>
      </c>
      <c r="D87" s="104">
        <f t="shared" si="83"/>
        <v>541051.23501999991</v>
      </c>
      <c r="E87" s="104">
        <f t="shared" si="84"/>
        <v>99928.195020000014</v>
      </c>
      <c r="F87" s="104">
        <v>25058.463449999999</v>
      </c>
      <c r="G87" s="104">
        <v>13938.50973</v>
      </c>
      <c r="H87" s="104">
        <v>1722.8931499999999</v>
      </c>
      <c r="I87" s="105">
        <f t="shared" si="79"/>
        <v>40998.962180000002</v>
      </c>
      <c r="J87" s="104">
        <v>31609.135450000002</v>
      </c>
      <c r="K87" s="104">
        <f>9389.82673</f>
        <v>9389.8267300000007</v>
      </c>
      <c r="L87" s="104">
        <v>18209.36651</v>
      </c>
      <c r="M87" s="104">
        <f t="shared" si="80"/>
        <v>441123.03999999992</v>
      </c>
      <c r="N87" s="104">
        <f>870878.94-T87-Z87</f>
        <v>113525.00999999995</v>
      </c>
      <c r="O87" s="104">
        <f>221421.99-U87-AA87</f>
        <v>117345.66999999998</v>
      </c>
      <c r="P87" s="104">
        <f>50985.89-V87-AB87</f>
        <v>41296.26</v>
      </c>
      <c r="Q87" s="104">
        <f>35815-W87-AC87</f>
        <v>10215</v>
      </c>
      <c r="R87" s="104">
        <f>162309.6-X87</f>
        <v>158741.1</v>
      </c>
      <c r="S87" s="131">
        <f t="shared" si="81"/>
        <v>683441.36</v>
      </c>
      <c r="T87" s="104">
        <v>601308.86</v>
      </c>
      <c r="U87" s="104">
        <v>61550.82</v>
      </c>
      <c r="V87" s="104">
        <v>7623.18</v>
      </c>
      <c r="W87" s="104">
        <v>9390</v>
      </c>
      <c r="X87" s="104">
        <v>3568.5</v>
      </c>
      <c r="Y87" s="131">
        <f t="shared" si="82"/>
        <v>216847.02000000002</v>
      </c>
      <c r="Z87" s="104">
        <v>156045.07</v>
      </c>
      <c r="AA87" s="104">
        <v>42525.5</v>
      </c>
      <c r="AB87" s="104">
        <v>2066.4499999999998</v>
      </c>
      <c r="AC87" s="104">
        <v>16210</v>
      </c>
      <c r="AD87" s="104"/>
    </row>
    <row r="88" spans="1:30" x14ac:dyDescent="0.25">
      <c r="A88" s="151"/>
      <c r="B88" s="103" t="str">
        <f>IF(L!$A$1=1,L!B209,IF(L!$A$1=2,L!C209,L!D209))</f>
        <v>2021 Maj</v>
      </c>
      <c r="C88" s="131">
        <f t="shared" si="78"/>
        <v>1351210.4699999997</v>
      </c>
      <c r="D88" s="104">
        <f t="shared" si="83"/>
        <v>807679.37748999987</v>
      </c>
      <c r="E88" s="104">
        <f t="shared" si="84"/>
        <v>108203.85748999999</v>
      </c>
      <c r="F88" s="104">
        <v>25176.423500000001</v>
      </c>
      <c r="G88" s="104">
        <v>14788.43672</v>
      </c>
      <c r="H88" s="104">
        <v>1029.37871</v>
      </c>
      <c r="I88" s="105">
        <f>SUM(J88:K88)</f>
        <v>39702.245540000004</v>
      </c>
      <c r="J88" s="104">
        <v>31959.173699999999</v>
      </c>
      <c r="K88" s="104">
        <f>7742.36933+0.70251</f>
        <v>7743.0718400000005</v>
      </c>
      <c r="L88" s="104">
        <v>27507.373019999999</v>
      </c>
      <c r="M88" s="104">
        <f t="shared" si="80"/>
        <v>699475.5199999999</v>
      </c>
      <c r="N88" s="104">
        <f>870078.57-T88-Z88</f>
        <v>304084.19999999995</v>
      </c>
      <c r="O88" s="104">
        <f>186164.65-U88-AA88</f>
        <v>114164.24999999997</v>
      </c>
      <c r="P88" s="104">
        <f>18633.32-V88-AB88</f>
        <v>14343.14</v>
      </c>
      <c r="Q88" s="104">
        <f>201079.97-W88-AC88</f>
        <v>191629.97</v>
      </c>
      <c r="R88" s="104">
        <v>75253.960000000006</v>
      </c>
      <c r="S88" s="131">
        <f t="shared" si="81"/>
        <v>470939.05</v>
      </c>
      <c r="T88" s="104">
        <v>412431.17</v>
      </c>
      <c r="U88" s="104">
        <v>48699.11</v>
      </c>
      <c r="V88" s="104">
        <v>808.77</v>
      </c>
      <c r="W88" s="104">
        <v>9000</v>
      </c>
      <c r="X88" s="104"/>
      <c r="Y88" s="131">
        <f t="shared" si="82"/>
        <v>180795.90000000002</v>
      </c>
      <c r="Z88" s="104">
        <v>153563.20000000001</v>
      </c>
      <c r="AA88" s="104">
        <v>23301.29</v>
      </c>
      <c r="AB88" s="104">
        <v>3481.41</v>
      </c>
      <c r="AC88" s="104">
        <v>450</v>
      </c>
      <c r="AD88" s="104"/>
    </row>
    <row r="89" spans="1:30" x14ac:dyDescent="0.25">
      <c r="A89" s="151"/>
      <c r="B89" s="103" t="str">
        <f>IF(L!$A$1=1,L!B210,IF(L!$A$1=2,L!C210,L!D210))</f>
        <v>2021 Qershor</v>
      </c>
      <c r="C89" s="131">
        <f t="shared" si="78"/>
        <v>1377393.32</v>
      </c>
      <c r="D89" s="104">
        <f>E89+M89</f>
        <v>776195.07577999996</v>
      </c>
      <c r="E89" s="104">
        <f>F89+G89+H89+I89+L89</f>
        <v>106702.39577999998</v>
      </c>
      <c r="F89" s="104">
        <v>25102.682019999993</v>
      </c>
      <c r="G89" s="104">
        <v>10844.51352</v>
      </c>
      <c r="H89" s="104">
        <v>772.52707000000009</v>
      </c>
      <c r="I89" s="105">
        <f>SUM(J89:K89)</f>
        <v>39202.052119999978</v>
      </c>
      <c r="J89" s="104">
        <v>32126.547020000002</v>
      </c>
      <c r="K89" s="104">
        <v>7075.5050999999803</v>
      </c>
      <c r="L89" s="104">
        <v>30780.621050000002</v>
      </c>
      <c r="M89" s="104">
        <f t="shared" si="80"/>
        <v>669492.67999999993</v>
      </c>
      <c r="N89" s="104">
        <f>819912.46-T89-Z89</f>
        <v>290603.38999999996</v>
      </c>
      <c r="O89" s="104">
        <f>253610.42-U89-AA89</f>
        <v>173024.63000000003</v>
      </c>
      <c r="P89" s="104">
        <f>25622.67-V89-AB89</f>
        <v>15494.919999999998</v>
      </c>
      <c r="Q89" s="104">
        <f>42725.78-W89-AC89</f>
        <v>9125.7799999999988</v>
      </c>
      <c r="R89" s="104">
        <f>235521.99-X89-AD89</f>
        <v>181243.96</v>
      </c>
      <c r="S89" s="131">
        <f t="shared" si="81"/>
        <v>478450.71000000008</v>
      </c>
      <c r="T89" s="104">
        <v>396682.39</v>
      </c>
      <c r="U89" s="104">
        <v>44718.45</v>
      </c>
      <c r="V89" s="104">
        <v>6971.84</v>
      </c>
      <c r="W89" s="104">
        <v>800</v>
      </c>
      <c r="X89" s="104">
        <v>29278.03</v>
      </c>
      <c r="Y89" s="131">
        <f t="shared" si="82"/>
        <v>229449.93</v>
      </c>
      <c r="Z89" s="104">
        <v>132626.68</v>
      </c>
      <c r="AA89" s="104">
        <v>35867.339999999997</v>
      </c>
      <c r="AB89" s="104">
        <v>3155.91</v>
      </c>
      <c r="AC89" s="104">
        <v>32800</v>
      </c>
      <c r="AD89" s="104">
        <v>25000</v>
      </c>
    </row>
    <row r="90" spans="1:30" s="132" customFormat="1" x14ac:dyDescent="0.25">
      <c r="A90" s="151"/>
      <c r="B90" s="103" t="str">
        <f>IF(L!$A$1=1,L!B211,IF(L!$A$1=2,L!C211,L!D211))</f>
        <v>2021 Korrik</v>
      </c>
      <c r="C90" s="131">
        <f t="shared" si="78"/>
        <v>1471158.7599999998</v>
      </c>
      <c r="D90" s="104">
        <f>E90+M90</f>
        <v>660916.26738000009</v>
      </c>
      <c r="E90" s="104">
        <f>F90+G90+H90+I90+L90</f>
        <v>109225.46738000003</v>
      </c>
      <c r="F90" s="104">
        <v>24978.209360000001</v>
      </c>
      <c r="G90" s="104">
        <v>11062.969240000006</v>
      </c>
      <c r="H90" s="104">
        <v>935.6237799999999</v>
      </c>
      <c r="I90" s="105">
        <f>SUM(J90:K90)</f>
        <v>45737.674990000021</v>
      </c>
      <c r="J90" s="104">
        <v>36228.048600000002</v>
      </c>
      <c r="K90" s="104">
        <v>9509.6263900000195</v>
      </c>
      <c r="L90" s="104">
        <v>26510.990009999994</v>
      </c>
      <c r="M90" s="104">
        <f>SUM(N90:R90)</f>
        <v>551690.80000000005</v>
      </c>
      <c r="N90" s="104">
        <f>1055560.58-T90-Z90</f>
        <v>296947.88</v>
      </c>
      <c r="O90" s="104">
        <f>217034.45-U90-AA90</f>
        <v>116741.15000000001</v>
      </c>
      <c r="P90" s="104">
        <f>17583.92-V90-AB90</f>
        <v>12802.729999999998</v>
      </c>
      <c r="Q90" s="104">
        <f>55535-W90-AC90</f>
        <v>17305</v>
      </c>
      <c r="R90" s="104">
        <f>125444.81-X90-AD90</f>
        <v>107894.04</v>
      </c>
      <c r="S90" s="131">
        <f>SUM(T90:X90)</f>
        <v>737756.1</v>
      </c>
      <c r="T90" s="104">
        <v>627958.68000000005</v>
      </c>
      <c r="U90" s="104">
        <v>77778.97</v>
      </c>
      <c r="V90" s="104">
        <v>2878.45</v>
      </c>
      <c r="W90" s="104">
        <v>28000</v>
      </c>
      <c r="X90" s="104">
        <v>1140</v>
      </c>
      <c r="Y90" s="131">
        <f>SUM(Z90:AD90)</f>
        <v>181711.86</v>
      </c>
      <c r="Z90" s="104">
        <v>130654.02</v>
      </c>
      <c r="AA90" s="104">
        <v>22514.33</v>
      </c>
      <c r="AB90" s="104">
        <v>1902.74</v>
      </c>
      <c r="AC90" s="104">
        <v>10230</v>
      </c>
      <c r="AD90" s="104">
        <v>16410.77</v>
      </c>
    </row>
    <row r="91" spans="1:30" x14ac:dyDescent="0.25">
      <c r="A91" s="151"/>
      <c r="B91" s="103" t="str">
        <f>IF(L!$A$1=1,L!B212,IF(L!$A$1=2,L!C212,L!D212))</f>
        <v>2021 Gusht</v>
      </c>
      <c r="C91" s="131">
        <f t="shared" si="78"/>
        <v>1543816.71</v>
      </c>
      <c r="D91" s="104">
        <f>E91+M91</f>
        <v>855326.59389999986</v>
      </c>
      <c r="E91" s="104">
        <f>F91+G91+H91+I91+L91</f>
        <v>106809.34389999999</v>
      </c>
      <c r="F91" s="104">
        <v>24661.182910000003</v>
      </c>
      <c r="G91" s="104">
        <v>11634.678899999999</v>
      </c>
      <c r="H91" s="104">
        <v>785.79655000000093</v>
      </c>
      <c r="I91" s="105">
        <f>SUM(J91:K91)</f>
        <v>36402.685249999995</v>
      </c>
      <c r="J91" s="104">
        <v>27800.572889999999</v>
      </c>
      <c r="K91" s="104">
        <v>8602.1123599999992</v>
      </c>
      <c r="L91" s="104">
        <v>33325.000289999996</v>
      </c>
      <c r="M91" s="104">
        <f>SUM(N91:R91)</f>
        <v>748517.24999999988</v>
      </c>
      <c r="N91" s="104">
        <f>830910.32-T91-Z91</f>
        <v>289476.52999999991</v>
      </c>
      <c r="O91" s="104">
        <f>310218.37-U91-AA91</f>
        <v>256194.65</v>
      </c>
      <c r="P91" s="104">
        <f>18533.07-AB91</f>
        <v>12233.75</v>
      </c>
      <c r="Q91" s="104">
        <f>217750.58-W91-AC91</f>
        <v>96299.999999999985</v>
      </c>
      <c r="R91" s="104">
        <f>166404.37-X91-AD91</f>
        <v>94312.319999999992</v>
      </c>
      <c r="S91" s="131">
        <f>SUM(T91:X91)</f>
        <v>507906.43</v>
      </c>
      <c r="T91" s="104">
        <v>397532.88</v>
      </c>
      <c r="U91" s="104">
        <v>36181.5</v>
      </c>
      <c r="V91" s="104"/>
      <c r="W91" s="104">
        <v>2100</v>
      </c>
      <c r="X91" s="104">
        <v>72092.05</v>
      </c>
      <c r="Y91" s="131">
        <f>SUM(Z91:AD91)</f>
        <v>287393.03000000003</v>
      </c>
      <c r="Z91" s="104">
        <v>143900.91</v>
      </c>
      <c r="AA91" s="104">
        <v>17842.22</v>
      </c>
      <c r="AB91" s="104">
        <v>6299.32</v>
      </c>
      <c r="AC91" s="104">
        <v>119350.58</v>
      </c>
      <c r="AD91" s="104"/>
    </row>
    <row r="92" spans="1:30" x14ac:dyDescent="0.25">
      <c r="A92" s="151"/>
      <c r="B92" s="103" t="str">
        <f>IF(L!$A$1=1,L!B213,IF(L!$A$1=2,L!C213,L!D213))</f>
        <v>2021 Shtator</v>
      </c>
      <c r="C92" s="131">
        <f t="shared" si="78"/>
        <v>1467331.07</v>
      </c>
      <c r="D92" s="104"/>
      <c r="E92" s="104"/>
      <c r="F92" s="104"/>
      <c r="G92" s="104"/>
      <c r="H92" s="104"/>
      <c r="I92" s="104"/>
      <c r="J92" s="104"/>
      <c r="K92" s="104"/>
      <c r="L92" s="104"/>
      <c r="M92" s="104">
        <f t="shared" ref="M92:M95" si="85">SUM(N92:R92)</f>
        <v>763225.19000000006</v>
      </c>
      <c r="N92" s="104">
        <f>824545.27-T92-Z92</f>
        <v>282222.69000000006</v>
      </c>
      <c r="O92" s="104">
        <f>291239.37-U92-AA92</f>
        <v>185276.98</v>
      </c>
      <c r="P92" s="104">
        <f>15188.12-V92-AB92</f>
        <v>13183.190000000002</v>
      </c>
      <c r="Q92" s="104">
        <f>43876.47-W92-AC92</f>
        <v>24706.47</v>
      </c>
      <c r="R92" s="104">
        <f>292481.84-X92</f>
        <v>257835.86000000002</v>
      </c>
      <c r="S92" s="131">
        <f t="shared" ref="S92:S95" si="86">SUM(T92:X92)</f>
        <v>474352.24</v>
      </c>
      <c r="T92" s="104">
        <v>393806.75</v>
      </c>
      <c r="U92" s="104">
        <v>43977.87</v>
      </c>
      <c r="V92" s="104">
        <v>1221.6400000000001</v>
      </c>
      <c r="W92" s="104">
        <v>700</v>
      </c>
      <c r="X92" s="104">
        <v>34645.980000000003</v>
      </c>
      <c r="Y92" s="131">
        <f t="shared" ref="Y92:Y95" si="87">SUM(Z92:AD92)</f>
        <v>229753.63999999998</v>
      </c>
      <c r="Z92" s="104">
        <v>148515.82999999999</v>
      </c>
      <c r="AA92" s="104">
        <v>61984.52</v>
      </c>
      <c r="AB92" s="104">
        <v>783.29</v>
      </c>
      <c r="AC92" s="104">
        <v>18470</v>
      </c>
      <c r="AD92" s="104">
        <v>0</v>
      </c>
    </row>
    <row r="93" spans="1:30" x14ac:dyDescent="0.25">
      <c r="A93" s="152"/>
      <c r="B93" s="103" t="str">
        <f>IF(L!$A$1=1,L!B214,IF(L!$A$1=2,L!C214,L!D214))</f>
        <v>2021 Tetor</v>
      </c>
      <c r="C93" s="131">
        <f t="shared" si="78"/>
        <v>1771114.25</v>
      </c>
      <c r="D93" s="104"/>
      <c r="E93" s="104"/>
      <c r="F93" s="104"/>
      <c r="G93" s="104"/>
      <c r="H93" s="104"/>
      <c r="I93" s="104"/>
      <c r="J93" s="104"/>
      <c r="K93" s="104"/>
      <c r="L93" s="104"/>
      <c r="M93" s="104">
        <f t="shared" si="85"/>
        <v>1063471.1199999999</v>
      </c>
      <c r="N93" s="104">
        <v>278274.62999999995</v>
      </c>
      <c r="O93" s="104">
        <v>140746.85</v>
      </c>
      <c r="P93" s="104">
        <v>21144.690000000006</v>
      </c>
      <c r="Q93" s="104">
        <v>25945.000000000007</v>
      </c>
      <c r="R93" s="104">
        <v>597359.94999999995</v>
      </c>
      <c r="S93" s="131">
        <f t="shared" si="86"/>
        <v>485109.9</v>
      </c>
      <c r="T93" s="134">
        <v>391354.69</v>
      </c>
      <c r="U93" s="134">
        <v>31612.71</v>
      </c>
      <c r="V93" s="134">
        <v>10608.1</v>
      </c>
      <c r="W93" s="134">
        <v>700</v>
      </c>
      <c r="X93" s="134">
        <v>50834.400000000001</v>
      </c>
      <c r="Y93" s="131">
        <f t="shared" si="87"/>
        <v>222533.23</v>
      </c>
      <c r="Z93" s="135">
        <v>141129.75</v>
      </c>
      <c r="AA93" s="135">
        <v>19389.009999999998</v>
      </c>
      <c r="AB93" s="135">
        <v>3938.87</v>
      </c>
      <c r="AC93" s="135">
        <v>58075.6</v>
      </c>
      <c r="AD93" s="104"/>
    </row>
    <row r="94" spans="1:30" x14ac:dyDescent="0.25">
      <c r="A94" s="152"/>
      <c r="B94" s="103" t="str">
        <f>IF(L!$A$1=1,L!B215,IF(L!$A$1=2,L!C215,L!D215))</f>
        <v xml:space="preserve">2021 Nëntor </v>
      </c>
      <c r="C94" s="131">
        <f t="shared" si="78"/>
        <v>1793510.56</v>
      </c>
      <c r="D94" s="104"/>
      <c r="E94" s="104"/>
      <c r="F94" s="104"/>
      <c r="G94" s="104"/>
      <c r="H94" s="104"/>
      <c r="I94" s="104"/>
      <c r="J94" s="104"/>
      <c r="K94" s="104"/>
      <c r="L94" s="104"/>
      <c r="M94" s="104">
        <f t="shared" si="85"/>
        <v>961723.29</v>
      </c>
      <c r="N94" s="104">
        <v>293834.38</v>
      </c>
      <c r="O94" s="104">
        <v>267592.63</v>
      </c>
      <c r="P94" s="104">
        <v>17673.89</v>
      </c>
      <c r="Q94" s="104">
        <v>27851.4</v>
      </c>
      <c r="R94" s="104">
        <v>354770.99</v>
      </c>
      <c r="S94" s="131">
        <f t="shared" si="86"/>
        <v>645615.19000000006</v>
      </c>
      <c r="T94" s="104">
        <v>524320.87</v>
      </c>
      <c r="U94" s="104">
        <v>83691.03</v>
      </c>
      <c r="V94" s="104">
        <v>5070.1099999999997</v>
      </c>
      <c r="W94" s="104"/>
      <c r="X94" s="104">
        <v>32533.18</v>
      </c>
      <c r="Y94" s="131">
        <f t="shared" si="87"/>
        <v>186172.08</v>
      </c>
      <c r="Z94" s="104">
        <v>142485.5</v>
      </c>
      <c r="AA94" s="104">
        <v>38933.15</v>
      </c>
      <c r="AB94" s="104">
        <v>3050.38</v>
      </c>
      <c r="AC94" s="104">
        <v>545.29999999999995</v>
      </c>
      <c r="AD94" s="104">
        <v>1157.75</v>
      </c>
    </row>
    <row r="95" spans="1:30" x14ac:dyDescent="0.25">
      <c r="A95" s="152"/>
      <c r="B95" s="103" t="str">
        <f>IF(L!$A$1=1,L!B216,IF(L!$A$1=2,L!C216,L!D216))</f>
        <v>2021 Dhjetor</v>
      </c>
      <c r="C95" s="131">
        <f t="shared" si="78"/>
        <v>2634763.4899999998</v>
      </c>
      <c r="D95" s="104"/>
      <c r="E95" s="104"/>
      <c r="F95" s="104"/>
      <c r="G95" s="104"/>
      <c r="H95" s="104"/>
      <c r="I95" s="104"/>
      <c r="J95" s="104"/>
      <c r="K95" s="104"/>
      <c r="L95" s="104"/>
      <c r="M95" s="104">
        <f t="shared" si="85"/>
        <v>1600122.5999999996</v>
      </c>
      <c r="N95" s="104">
        <v>307988.37999999989</v>
      </c>
      <c r="O95" s="104">
        <v>269811.67999999993</v>
      </c>
      <c r="P95" s="104">
        <v>10601.62</v>
      </c>
      <c r="Q95" s="104">
        <v>73325.84</v>
      </c>
      <c r="R95" s="104">
        <v>938395.08</v>
      </c>
      <c r="S95" s="131">
        <f t="shared" si="86"/>
        <v>292323.25</v>
      </c>
      <c r="T95" s="104">
        <v>150490.29</v>
      </c>
      <c r="U95" s="104">
        <v>84887.77</v>
      </c>
      <c r="V95" s="104">
        <v>3285.53</v>
      </c>
      <c r="W95" s="104">
        <v>10785.5</v>
      </c>
      <c r="X95" s="104">
        <v>42874.16</v>
      </c>
      <c r="Y95" s="131">
        <f t="shared" si="87"/>
        <v>742317.64</v>
      </c>
      <c r="Z95" s="104">
        <v>418374.66000000003</v>
      </c>
      <c r="AA95" s="104">
        <v>114239.34</v>
      </c>
      <c r="AB95" s="104">
        <v>11270.47</v>
      </c>
      <c r="AC95" s="104">
        <v>2100</v>
      </c>
      <c r="AD95" s="104">
        <v>196333.17</v>
      </c>
    </row>
    <row r="96" spans="1:30" x14ac:dyDescent="0.25">
      <c r="A96" s="153"/>
      <c r="B96" s="124" t="str">
        <f>IF(L!$A$1=1,L!B217,IF(L!$A$1=2,L!C217,L!D217))</f>
        <v>Gjithsej 2021</v>
      </c>
      <c r="C96" s="123">
        <f t="shared" si="78"/>
        <v>18297184.939999998</v>
      </c>
      <c r="D96" s="123">
        <f>E96+M96</f>
        <v>9724384.2403599992</v>
      </c>
      <c r="E96" s="123">
        <f>F96+G96+H96+I96+L96</f>
        <v>786598.25035999995</v>
      </c>
      <c r="F96" s="123">
        <f t="shared" ref="F96:L96" si="88">SUM(F84:F95)</f>
        <v>199842.55405999999</v>
      </c>
      <c r="G96" s="123">
        <f t="shared" si="88"/>
        <v>89609.018400000001</v>
      </c>
      <c r="H96" s="123">
        <f t="shared" si="88"/>
        <v>9770.3237100000006</v>
      </c>
      <c r="I96" s="123">
        <f t="shared" si="88"/>
        <v>309270.71338999999</v>
      </c>
      <c r="J96" s="121">
        <f t="shared" si="88"/>
        <v>249135.98098000002</v>
      </c>
      <c r="K96" s="121">
        <f t="shared" si="88"/>
        <v>60134.732409999997</v>
      </c>
      <c r="L96" s="121">
        <f t="shared" si="88"/>
        <v>178105.64079999999</v>
      </c>
      <c r="M96" s="121">
        <f>SUM(N96:R96)</f>
        <v>8937785.9899999984</v>
      </c>
      <c r="N96" s="121">
        <f t="shared" ref="N96:R96" si="89">SUM(N84:N95)</f>
        <v>3363782.1999999993</v>
      </c>
      <c r="O96" s="121">
        <f t="shared" si="89"/>
        <v>1958787.0199999998</v>
      </c>
      <c r="P96" s="121">
        <f t="shared" si="89"/>
        <v>210400.16999999998</v>
      </c>
      <c r="Q96" s="121">
        <f t="shared" si="89"/>
        <v>484964.45999999996</v>
      </c>
      <c r="R96" s="121">
        <f t="shared" si="89"/>
        <v>2919852.1399999997</v>
      </c>
      <c r="S96" s="121">
        <f>SUM(T96:X96)</f>
        <v>6306399.6600000001</v>
      </c>
      <c r="T96" s="121">
        <f t="shared" ref="T96:X96" si="90">SUM(T84:T95)</f>
        <v>5189744.3400000008</v>
      </c>
      <c r="U96" s="121">
        <f t="shared" si="90"/>
        <v>724315.64</v>
      </c>
      <c r="V96" s="121">
        <f t="shared" si="90"/>
        <v>51469.880000000005</v>
      </c>
      <c r="W96" s="121">
        <f t="shared" si="90"/>
        <v>61475.5</v>
      </c>
      <c r="X96" s="121">
        <f t="shared" si="90"/>
        <v>279394.3</v>
      </c>
      <c r="Y96" s="121">
        <f>SUM(Z96:AD96)</f>
        <v>3052999.2900000005</v>
      </c>
      <c r="Z96" s="121">
        <f t="shared" ref="Z96:AD96" si="91">SUM(Z84:Z95)</f>
        <v>2049577.1800000002</v>
      </c>
      <c r="AA96" s="121">
        <f t="shared" si="91"/>
        <v>426597.01</v>
      </c>
      <c r="AB96" s="121">
        <f t="shared" si="91"/>
        <v>47491.93</v>
      </c>
      <c r="AC96" s="121">
        <f t="shared" si="91"/>
        <v>290431.48</v>
      </c>
      <c r="AD96" s="121">
        <f t="shared" si="91"/>
        <v>238901.69</v>
      </c>
    </row>
    <row r="97" spans="1:30" x14ac:dyDescent="0.25">
      <c r="A97" s="151">
        <v>2022</v>
      </c>
      <c r="B97" s="103" t="str">
        <f>IF(L!$A$1=1,L!B218,IF(L!$A$1=2,L!C218,L!D218))</f>
        <v>2022 Janar</v>
      </c>
      <c r="C97" s="131">
        <f t="shared" ref="C97:C109" si="92">M97+S97+Y97</f>
        <v>814628.92</v>
      </c>
      <c r="D97" s="104">
        <f>E97+M97</f>
        <v>167613.2492100001</v>
      </c>
      <c r="E97" s="104">
        <f>F97+G97+H97+I97+L97</f>
        <v>57713.659209999998</v>
      </c>
      <c r="F97" s="104">
        <v>24846.235489999999</v>
      </c>
      <c r="G97" s="104">
        <v>1301.9379300000001</v>
      </c>
      <c r="H97" s="104">
        <v>469.39997</v>
      </c>
      <c r="I97" s="105">
        <f t="shared" ref="I97:I100" si="93">SUM(J97:K97)</f>
        <v>30409.931329999999</v>
      </c>
      <c r="J97" s="104">
        <v>27498.698</v>
      </c>
      <c r="K97" s="104">
        <v>2911.23333</v>
      </c>
      <c r="L97" s="104">
        <v>686.15449000000001</v>
      </c>
      <c r="M97" s="104">
        <f t="shared" ref="M97:M102" si="94">SUM(N97:R97)</f>
        <v>109899.59000000008</v>
      </c>
      <c r="N97" s="104">
        <f>814628.92-T97-Z97</f>
        <v>109899.59000000008</v>
      </c>
      <c r="O97" s="104"/>
      <c r="P97" s="104"/>
      <c r="Q97" s="104"/>
      <c r="R97" s="104"/>
      <c r="S97" s="131">
        <f t="shared" ref="S97:S102" si="95">SUM(T97:X97)</f>
        <v>575219.71</v>
      </c>
      <c r="T97" s="104">
        <v>575219.71</v>
      </c>
      <c r="U97" s="104"/>
      <c r="V97" s="104"/>
      <c r="W97" s="104"/>
      <c r="X97" s="104"/>
      <c r="Y97" s="131">
        <f t="shared" ref="Y97:Y106" si="96">SUM(Z97:AD97)</f>
        <v>129509.62</v>
      </c>
      <c r="Z97" s="104">
        <v>129509.62</v>
      </c>
      <c r="AA97" s="104"/>
      <c r="AB97" s="104"/>
      <c r="AC97" s="104"/>
      <c r="AD97" s="104"/>
    </row>
    <row r="98" spans="1:30" x14ac:dyDescent="0.25">
      <c r="A98" s="151"/>
      <c r="B98" s="103" t="str">
        <f>IF(L!$A$1=1,L!B219,IF(L!$A$1=2,L!C219,L!D219))</f>
        <v>2022 Shkurt</v>
      </c>
      <c r="C98" s="131">
        <f t="shared" si="92"/>
        <v>1050190.5900000001</v>
      </c>
      <c r="D98" s="104">
        <f t="shared" ref="D98:D101" si="97">E98+M98</f>
        <v>278022.18055999989</v>
      </c>
      <c r="E98" s="104">
        <f t="shared" ref="E98:E101" si="98">F98+G98+H98+I98+L98</f>
        <v>87018.600559999992</v>
      </c>
      <c r="F98" s="104">
        <v>25348.27275</v>
      </c>
      <c r="G98" s="104">
        <v>12435.78448</v>
      </c>
      <c r="H98" s="104">
        <v>2584.5733500000001</v>
      </c>
      <c r="I98" s="105">
        <f t="shared" si="93"/>
        <v>35523.365980000002</v>
      </c>
      <c r="J98" s="104">
        <v>29987.650020000001</v>
      </c>
      <c r="K98" s="104">
        <v>5535.7159600000005</v>
      </c>
      <c r="L98" s="104">
        <v>11126.603999999999</v>
      </c>
      <c r="M98" s="104">
        <f t="shared" si="94"/>
        <v>191003.57999999993</v>
      </c>
      <c r="N98" s="104">
        <f>839920.49-T98-Z98</f>
        <v>107730.74999999994</v>
      </c>
      <c r="O98" s="104">
        <f>160064.52-U98-AA98</f>
        <v>69843.079999999987</v>
      </c>
      <c r="P98" s="104">
        <f>34505.58-V98-AB98</f>
        <v>12979.750000000004</v>
      </c>
      <c r="Q98" s="104">
        <f>15700-AC98</f>
        <v>450</v>
      </c>
      <c r="R98" s="104"/>
      <c r="S98" s="131">
        <f t="shared" si="95"/>
        <v>652610.22000000009</v>
      </c>
      <c r="T98" s="104">
        <v>574832.80000000005</v>
      </c>
      <c r="U98" s="104">
        <v>62244.639999999999</v>
      </c>
      <c r="V98" s="104">
        <v>15532.78</v>
      </c>
      <c r="W98" s="104"/>
      <c r="X98" s="104"/>
      <c r="Y98" s="131">
        <f t="shared" si="96"/>
        <v>206576.78999999998</v>
      </c>
      <c r="Z98" s="104">
        <v>157356.94</v>
      </c>
      <c r="AA98" s="104">
        <v>27976.799999999999</v>
      </c>
      <c r="AB98" s="104">
        <v>5993.05</v>
      </c>
      <c r="AC98" s="104">
        <v>15250</v>
      </c>
      <c r="AD98" s="104"/>
    </row>
    <row r="99" spans="1:30" x14ac:dyDescent="0.25">
      <c r="A99" s="151"/>
      <c r="B99" s="103" t="str">
        <f>IF(L!$A$1=1,L!B220,IF(L!$A$1=2,L!C220,L!D220))</f>
        <v xml:space="preserve">2022 Mars </v>
      </c>
      <c r="C99" s="131">
        <f t="shared" si="92"/>
        <v>1084074.01</v>
      </c>
      <c r="D99" s="104">
        <f t="shared" si="97"/>
        <v>308679.00102000008</v>
      </c>
      <c r="E99" s="104">
        <f t="shared" si="98"/>
        <v>110996.73102000001</v>
      </c>
      <c r="F99" s="104">
        <v>24671.084579999999</v>
      </c>
      <c r="G99" s="104">
        <f>13602.18788+3.63797880709171E-12</f>
        <v>13602.187880000003</v>
      </c>
      <c r="H99" s="104">
        <v>1470.13113</v>
      </c>
      <c r="I99" s="105">
        <f t="shared" si="93"/>
        <v>41293.796000000002</v>
      </c>
      <c r="J99" s="104">
        <v>31926.155299999999</v>
      </c>
      <c r="K99" s="104">
        <v>9367.6406999999999</v>
      </c>
      <c r="L99" s="104">
        <v>29959.531429999999</v>
      </c>
      <c r="M99" s="104">
        <f t="shared" si="94"/>
        <v>197682.27000000005</v>
      </c>
      <c r="N99" s="104">
        <f>816536.39-T99-Z99</f>
        <v>106297.29000000004</v>
      </c>
      <c r="O99" s="104">
        <f>196878.26-U99-AA99</f>
        <v>54525.040000000008</v>
      </c>
      <c r="P99" s="104">
        <f>27752.36-V99-AB99</f>
        <v>14552.939999999999</v>
      </c>
      <c r="Q99" s="104">
        <f>22200-AC99</f>
        <v>1600</v>
      </c>
      <c r="R99" s="104">
        <v>20707</v>
      </c>
      <c r="S99" s="131">
        <f t="shared" si="95"/>
        <v>682164.30999999994</v>
      </c>
      <c r="T99" s="104">
        <v>567040.73</v>
      </c>
      <c r="U99" s="104">
        <v>105784.61</v>
      </c>
      <c r="V99" s="104">
        <v>9338.9699999999993</v>
      </c>
      <c r="W99" s="104"/>
      <c r="X99" s="104"/>
      <c r="Y99" s="131">
        <f t="shared" si="96"/>
        <v>204227.43</v>
      </c>
      <c r="Z99" s="104">
        <v>143198.37</v>
      </c>
      <c r="AA99" s="104">
        <v>36568.61</v>
      </c>
      <c r="AB99" s="104">
        <v>3860.45</v>
      </c>
      <c r="AC99" s="104">
        <v>20600</v>
      </c>
      <c r="AD99" s="104"/>
    </row>
    <row r="100" spans="1:30" x14ac:dyDescent="0.25">
      <c r="A100" s="151"/>
      <c r="B100" s="103" t="str">
        <f>IF(L!$A$1=1,L!B221,IF(L!$A$1=2,L!C221,L!D221))</f>
        <v>2022 Prill</v>
      </c>
      <c r="C100" s="131">
        <f t="shared" si="92"/>
        <v>1303722.75</v>
      </c>
      <c r="D100" s="104">
        <f t="shared" si="97"/>
        <v>472111.23502000002</v>
      </c>
      <c r="E100" s="104">
        <f t="shared" si="98"/>
        <v>99928.195020000014</v>
      </c>
      <c r="F100" s="104">
        <v>25058.463449999999</v>
      </c>
      <c r="G100" s="104">
        <v>13938.50973</v>
      </c>
      <c r="H100" s="104">
        <v>1722.8931499999999</v>
      </c>
      <c r="I100" s="105">
        <f t="shared" si="93"/>
        <v>40998.962180000002</v>
      </c>
      <c r="J100" s="104">
        <v>31609.135450000002</v>
      </c>
      <c r="K100" s="104">
        <f>9389.82673</f>
        <v>9389.8267300000007</v>
      </c>
      <c r="L100" s="104">
        <v>18209.36651</v>
      </c>
      <c r="M100" s="104">
        <f t="shared" si="94"/>
        <v>372183.04000000004</v>
      </c>
      <c r="N100" s="104">
        <f>878898.92-T100-Z100</f>
        <v>108523.38000000003</v>
      </c>
      <c r="O100" s="104">
        <f>324735.58-U100-AA100</f>
        <v>189162.17000000004</v>
      </c>
      <c r="P100" s="104">
        <f>93277.15-V100-AB100</f>
        <v>70387.489999999991</v>
      </c>
      <c r="Q100" s="104">
        <f>6811.1-W100-AC100</f>
        <v>4110</v>
      </c>
      <c r="R100" s="104">
        <v>0</v>
      </c>
      <c r="S100" s="131">
        <f t="shared" si="95"/>
        <v>750663.67999999993</v>
      </c>
      <c r="T100" s="104">
        <v>629087.75</v>
      </c>
      <c r="U100" s="104">
        <v>101315.48</v>
      </c>
      <c r="V100" s="104">
        <v>19540.45</v>
      </c>
      <c r="W100" s="104">
        <v>720</v>
      </c>
      <c r="X100" s="104"/>
      <c r="Y100" s="131">
        <f t="shared" si="96"/>
        <v>180876.03</v>
      </c>
      <c r="Z100" s="104">
        <v>141287.79</v>
      </c>
      <c r="AA100" s="104">
        <v>34257.93</v>
      </c>
      <c r="AB100" s="104">
        <v>3349.21</v>
      </c>
      <c r="AC100" s="104">
        <v>1981.1</v>
      </c>
      <c r="AD100" s="104"/>
    </row>
    <row r="101" spans="1:30" x14ac:dyDescent="0.25">
      <c r="A101" s="151"/>
      <c r="B101" s="103" t="str">
        <f>IF(L!$A$1=1,L!B222,IF(L!$A$1=2,L!C222,L!D222))</f>
        <v>2022 Maj</v>
      </c>
      <c r="C101" s="131">
        <f t="shared" si="92"/>
        <v>1242288.3599999999</v>
      </c>
      <c r="D101" s="104">
        <f t="shared" si="97"/>
        <v>470168.31748999993</v>
      </c>
      <c r="E101" s="104">
        <f t="shared" si="98"/>
        <v>108203.85748999999</v>
      </c>
      <c r="F101" s="104">
        <v>25176.423500000001</v>
      </c>
      <c r="G101" s="104">
        <v>14788.43672</v>
      </c>
      <c r="H101" s="104">
        <v>1029.37871</v>
      </c>
      <c r="I101" s="105">
        <f>SUM(J101:K101)</f>
        <v>39702.245540000004</v>
      </c>
      <c r="J101" s="104">
        <v>31959.173699999999</v>
      </c>
      <c r="K101" s="104">
        <f>7742.36933+0.70251</f>
        <v>7743.0718400000005</v>
      </c>
      <c r="L101" s="104">
        <v>27507.373019999999</v>
      </c>
      <c r="M101" s="104">
        <f t="shared" si="94"/>
        <v>361964.45999999996</v>
      </c>
      <c r="N101" s="104">
        <f>829326.6-T101-Z101</f>
        <v>106229.53999999995</v>
      </c>
      <c r="O101" s="104">
        <f>205282.13-U101-AA101</f>
        <v>145878.88999999998</v>
      </c>
      <c r="P101" s="104">
        <f>27480.68-V101-AB101</f>
        <v>17124.560000000001</v>
      </c>
      <c r="Q101" s="104">
        <f>131534.48-W101-AC101</f>
        <v>44067.000000000015</v>
      </c>
      <c r="R101" s="104">
        <v>48664.47</v>
      </c>
      <c r="S101" s="131">
        <f t="shared" si="95"/>
        <v>639715.11</v>
      </c>
      <c r="T101" s="104">
        <v>578842.15</v>
      </c>
      <c r="U101" s="104">
        <v>36868.020000000004</v>
      </c>
      <c r="V101" s="104">
        <v>8034.94</v>
      </c>
      <c r="W101" s="104">
        <v>15970</v>
      </c>
      <c r="X101" s="104"/>
      <c r="Y101" s="131">
        <f t="shared" si="96"/>
        <v>240608.78999999998</v>
      </c>
      <c r="Z101" s="104">
        <v>144254.91</v>
      </c>
      <c r="AA101" s="104">
        <v>22535.22</v>
      </c>
      <c r="AB101" s="104">
        <v>2321.1799999999998</v>
      </c>
      <c r="AC101" s="104">
        <v>71497.48</v>
      </c>
      <c r="AD101" s="104"/>
    </row>
    <row r="102" spans="1:30" x14ac:dyDescent="0.25">
      <c r="A102" s="151"/>
      <c r="B102" s="103" t="str">
        <f>IF(L!$A$1=1,L!B223,IF(L!$A$1=2,L!C223,L!D223))</f>
        <v>2022 Qershor</v>
      </c>
      <c r="C102" s="131">
        <f t="shared" si="92"/>
        <v>1265511</v>
      </c>
      <c r="D102" s="104">
        <f>E102+M102</f>
        <v>479225.71578000003</v>
      </c>
      <c r="E102" s="104">
        <f>F102+G102+H102+I102+L102</f>
        <v>106702.39577999998</v>
      </c>
      <c r="F102" s="104">
        <v>25102.682019999993</v>
      </c>
      <c r="G102" s="104">
        <v>10844.51352</v>
      </c>
      <c r="H102" s="104">
        <v>772.52707000000009</v>
      </c>
      <c r="I102" s="105">
        <f>SUM(J102:K102)</f>
        <v>39202.052119999978</v>
      </c>
      <c r="J102" s="104">
        <v>32126.547020000002</v>
      </c>
      <c r="K102" s="104">
        <v>7075.5050999999803</v>
      </c>
      <c r="L102" s="104">
        <v>30780.621050000002</v>
      </c>
      <c r="M102" s="104">
        <f t="shared" si="94"/>
        <v>372523.32000000007</v>
      </c>
      <c r="N102" s="104">
        <f>834593.02-T102-Z102</f>
        <v>108233.63000000003</v>
      </c>
      <c r="O102" s="104">
        <f>243606.92-U102-AA102</f>
        <v>131960.77000000002</v>
      </c>
      <c r="P102" s="104">
        <f>39126.34-V102-AB102</f>
        <v>26196.14</v>
      </c>
      <c r="Q102" s="104">
        <f>70630-W102-AC102</f>
        <v>56400</v>
      </c>
      <c r="R102" s="104">
        <f>77554.72-X102</f>
        <v>49732.78</v>
      </c>
      <c r="S102" s="131">
        <f t="shared" si="95"/>
        <v>704908.42999999993</v>
      </c>
      <c r="T102" s="104">
        <v>579047.35</v>
      </c>
      <c r="U102" s="104">
        <v>86754.79</v>
      </c>
      <c r="V102" s="104">
        <v>8774.35</v>
      </c>
      <c r="W102" s="104">
        <v>2510</v>
      </c>
      <c r="X102" s="104">
        <v>27821.94</v>
      </c>
      <c r="Y102" s="131">
        <f t="shared" si="96"/>
        <v>188079.25000000003</v>
      </c>
      <c r="Z102" s="104">
        <v>147312.04</v>
      </c>
      <c r="AA102" s="104">
        <v>24891.360000000001</v>
      </c>
      <c r="AB102" s="104">
        <v>4155.8500000000004</v>
      </c>
      <c r="AC102" s="104">
        <v>11720</v>
      </c>
      <c r="AD102" s="104"/>
    </row>
    <row r="103" spans="1:30" s="132" customFormat="1" x14ac:dyDescent="0.25">
      <c r="A103" s="151"/>
      <c r="B103" s="103" t="str">
        <f>IF(L!$A$1=1,L!B224,IF(L!$A$1=2,L!C224,L!D224))</f>
        <v>2022 Korrik</v>
      </c>
      <c r="C103" s="131">
        <f t="shared" si="92"/>
        <v>1188879.4500000002</v>
      </c>
      <c r="D103" s="104">
        <f>E103+M103</f>
        <v>429360.63738000003</v>
      </c>
      <c r="E103" s="104">
        <f>F103+G103+H103+I103+L103</f>
        <v>109225.46738000003</v>
      </c>
      <c r="F103" s="104">
        <v>24978.209360000001</v>
      </c>
      <c r="G103" s="104">
        <v>11062.969240000006</v>
      </c>
      <c r="H103" s="104">
        <v>935.6237799999999</v>
      </c>
      <c r="I103" s="105">
        <f>SUM(J103:K103)</f>
        <v>45737.674990000021</v>
      </c>
      <c r="J103" s="104">
        <v>36228.048600000002</v>
      </c>
      <c r="K103" s="104">
        <v>9509.6263900000195</v>
      </c>
      <c r="L103" s="104">
        <v>26510.990009999994</v>
      </c>
      <c r="M103" s="104">
        <f>SUM(N103:R103)</f>
        <v>320135.17</v>
      </c>
      <c r="N103" s="104">
        <f>839543.88-T103-Z103</f>
        <v>108218.38</v>
      </c>
      <c r="O103" s="104">
        <f>223888.31-U103-AA103</f>
        <v>133179.75999999998</v>
      </c>
      <c r="P103" s="104">
        <f>23895.76-V103-AB103</f>
        <v>14420.529999999999</v>
      </c>
      <c r="Q103" s="104">
        <f>54135-W103-AC103</f>
        <v>16900</v>
      </c>
      <c r="R103" s="104">
        <v>47416.5</v>
      </c>
      <c r="S103" s="131">
        <f>SUM(T103:X103)</f>
        <v>692705.67</v>
      </c>
      <c r="T103" s="104">
        <v>586894.88</v>
      </c>
      <c r="U103" s="104">
        <v>73653.27</v>
      </c>
      <c r="V103" s="104">
        <v>6682.52</v>
      </c>
      <c r="W103" s="104">
        <v>25475</v>
      </c>
      <c r="X103" s="104">
        <v>0</v>
      </c>
      <c r="Y103" s="131">
        <f t="shared" si="96"/>
        <v>176038.61</v>
      </c>
      <c r="Z103" s="104">
        <v>144430.62</v>
      </c>
      <c r="AA103" s="104">
        <v>17055.28</v>
      </c>
      <c r="AB103" s="104">
        <v>2792.71</v>
      </c>
      <c r="AC103" s="104">
        <v>11760</v>
      </c>
      <c r="AD103" s="104"/>
    </row>
    <row r="104" spans="1:30" x14ac:dyDescent="0.25">
      <c r="A104" s="151"/>
      <c r="B104" s="103" t="str">
        <f>IF(L!$A$1=1,L!B225,IF(L!$A$1=2,L!C225,L!D225))</f>
        <v>2022 Gusht</v>
      </c>
      <c r="C104" s="131">
        <f t="shared" si="92"/>
        <v>803630</v>
      </c>
      <c r="D104" s="104">
        <f>E104+M104</f>
        <v>623552.76390000002</v>
      </c>
      <c r="E104" s="104">
        <f>F104+G104+H104+I104+L104</f>
        <v>106809.34389999999</v>
      </c>
      <c r="F104" s="104">
        <v>24661.182910000003</v>
      </c>
      <c r="G104" s="104">
        <v>11634.678899999999</v>
      </c>
      <c r="H104" s="104">
        <v>785.79655000000093</v>
      </c>
      <c r="I104" s="105">
        <f>SUM(J104:K104)</f>
        <v>36402.685249999995</v>
      </c>
      <c r="J104" s="104">
        <v>27800.572889999999</v>
      </c>
      <c r="K104" s="104">
        <v>8602.1123599999992</v>
      </c>
      <c r="L104" s="104">
        <v>33325.000289999996</v>
      </c>
      <c r="M104" s="104">
        <f>SUM(N104:R104)</f>
        <v>516743.42</v>
      </c>
      <c r="N104" s="104"/>
      <c r="O104" s="104">
        <f>214687.8-U104-AA104</f>
        <v>114887.40999999997</v>
      </c>
      <c r="P104" s="104">
        <f>19837.71-V104-AB104</f>
        <v>14626.08</v>
      </c>
      <c r="Q104" s="104">
        <f>243112.09-W104-AC104</f>
        <v>98432.09</v>
      </c>
      <c r="R104" s="104">
        <f>325992.4-X104</f>
        <v>288797.84000000003</v>
      </c>
      <c r="S104" s="131">
        <f>SUM(T104:X104)</f>
        <v>102642.76</v>
      </c>
      <c r="T104" s="104"/>
      <c r="U104" s="104">
        <v>61932.79</v>
      </c>
      <c r="V104" s="104">
        <v>3115.41</v>
      </c>
      <c r="W104" s="104">
        <v>400</v>
      </c>
      <c r="X104" s="104">
        <v>37194.559999999998</v>
      </c>
      <c r="Y104" s="131">
        <f t="shared" si="96"/>
        <v>184243.82</v>
      </c>
      <c r="Z104" s="104"/>
      <c r="AA104" s="104">
        <v>37867.599999999999</v>
      </c>
      <c r="AB104" s="104">
        <v>2096.2199999999998</v>
      </c>
      <c r="AC104" s="104">
        <v>144280</v>
      </c>
      <c r="AD104" s="104"/>
    </row>
    <row r="105" spans="1:30" x14ac:dyDescent="0.25">
      <c r="A105" s="151"/>
      <c r="B105" s="103" t="str">
        <f>IF(L!$A$1=1,L!B226,IF(L!$A$1=2,L!C226,L!D226))</f>
        <v>2022 Shtator</v>
      </c>
      <c r="C105" s="131">
        <f t="shared" si="92"/>
        <v>1731129.6</v>
      </c>
      <c r="D105" s="104"/>
      <c r="E105" s="104"/>
      <c r="F105" s="104"/>
      <c r="G105" s="104"/>
      <c r="H105" s="104"/>
      <c r="I105" s="104"/>
      <c r="J105" s="104"/>
      <c r="K105" s="104"/>
      <c r="L105" s="104"/>
      <c r="M105" s="104">
        <f t="shared" ref="M105:M108" si="99">SUM(N105:R105)</f>
        <v>651688.51000000013</v>
      </c>
      <c r="N105" s="104">
        <f>1095898.33-T105-Z105</f>
        <v>214701.14000000007</v>
      </c>
      <c r="O105" s="104">
        <f>260969.4-U105-AA105</f>
        <v>163993.71</v>
      </c>
      <c r="P105" s="104">
        <f>21629.23-V105-AB105</f>
        <v>14798.25</v>
      </c>
      <c r="Q105" s="104">
        <f>41595-W105-AC105</f>
        <v>40095</v>
      </c>
      <c r="R105" s="104">
        <f>311037.64-X105-AD105</f>
        <v>218100.41</v>
      </c>
      <c r="S105" s="131">
        <f t="shared" ref="S105:S108" si="100">SUM(T105:X105)</f>
        <v>750420.73</v>
      </c>
      <c r="T105" s="104">
        <v>589352.51</v>
      </c>
      <c r="U105" s="104">
        <v>75329.820000000007</v>
      </c>
      <c r="V105" s="104">
        <v>3408.69</v>
      </c>
      <c r="W105" s="104">
        <v>400</v>
      </c>
      <c r="X105" s="104">
        <v>81929.710000000006</v>
      </c>
      <c r="Y105" s="131">
        <f t="shared" si="96"/>
        <v>329020.36</v>
      </c>
      <c r="Z105" s="104">
        <v>291844.68</v>
      </c>
      <c r="AA105" s="104">
        <v>21645.87</v>
      </c>
      <c r="AB105" s="104">
        <v>3422.29</v>
      </c>
      <c r="AC105" s="104">
        <v>1100</v>
      </c>
      <c r="AD105" s="104">
        <v>11007.52</v>
      </c>
    </row>
    <row r="106" spans="1:30" x14ac:dyDescent="0.25">
      <c r="A106" s="152"/>
      <c r="B106" s="103" t="str">
        <f>IF(L!$A$1=1,L!B227,IF(L!$A$1=2,L!C227,L!D227))</f>
        <v>2022 Tetor</v>
      </c>
      <c r="C106" s="131">
        <f t="shared" si="92"/>
        <v>2349659.16</v>
      </c>
      <c r="D106" s="104"/>
      <c r="E106" s="104"/>
      <c r="F106" s="104"/>
      <c r="G106" s="104"/>
      <c r="H106" s="104"/>
      <c r="I106" s="104"/>
      <c r="J106" s="104"/>
      <c r="K106" s="104"/>
      <c r="L106" s="104"/>
      <c r="M106" s="104">
        <f t="shared" si="99"/>
        <v>810638.57999999984</v>
      </c>
      <c r="N106" s="104">
        <f>1459086.92-T106-Z106</f>
        <v>106856.2099999999</v>
      </c>
      <c r="O106" s="104">
        <f>216552.92-U106-AA106</f>
        <v>164114.16</v>
      </c>
      <c r="P106" s="104">
        <f>22997.15-V106-AB106</f>
        <v>17721.61</v>
      </c>
      <c r="Q106" s="104">
        <f>206075.25-W106-AC106</f>
        <v>172205.25</v>
      </c>
      <c r="R106" s="104">
        <f>444946.92-X106-AD106</f>
        <v>349741.35</v>
      </c>
      <c r="S106" s="131">
        <f t="shared" si="100"/>
        <v>1316563.7400000002</v>
      </c>
      <c r="T106" s="134">
        <v>1199936.76</v>
      </c>
      <c r="U106" s="136">
        <v>38673.57</v>
      </c>
      <c r="V106" s="136">
        <v>3383.62</v>
      </c>
      <c r="W106" s="136">
        <v>2550</v>
      </c>
      <c r="X106" s="136">
        <v>72019.789999999994</v>
      </c>
      <c r="Y106" s="131">
        <f t="shared" si="96"/>
        <v>222456.84000000003</v>
      </c>
      <c r="Z106" s="135">
        <v>152293.95000000001</v>
      </c>
      <c r="AA106" s="137">
        <v>13765.19</v>
      </c>
      <c r="AB106" s="137">
        <v>1891.92</v>
      </c>
      <c r="AC106" s="137">
        <v>31320</v>
      </c>
      <c r="AD106" s="104">
        <v>23185.78</v>
      </c>
    </row>
    <row r="107" spans="1:30" x14ac:dyDescent="0.25">
      <c r="A107" s="152"/>
      <c r="B107" s="103" t="str">
        <f>IF(L!$A$1=1,L!B228,IF(L!$A$1=2,L!C228,L!D228))</f>
        <v xml:space="preserve">2022 Nëntor </v>
      </c>
      <c r="C107" s="131">
        <f t="shared" si="92"/>
        <v>1946847.4399999997</v>
      </c>
      <c r="D107" s="104"/>
      <c r="E107" s="104"/>
      <c r="F107" s="104"/>
      <c r="G107" s="104"/>
      <c r="H107" s="104"/>
      <c r="I107" s="104"/>
      <c r="J107" s="104"/>
      <c r="K107" s="104"/>
      <c r="L107" s="104"/>
      <c r="M107" s="104">
        <f t="shared" si="99"/>
        <v>867843.47</v>
      </c>
      <c r="N107" s="104">
        <v>107679.84000000003</v>
      </c>
      <c r="O107" s="104">
        <v>179286.44</v>
      </c>
      <c r="P107" s="104">
        <v>17807.48</v>
      </c>
      <c r="Q107" s="104">
        <v>239720.13</v>
      </c>
      <c r="R107" s="104">
        <v>323349.57999999996</v>
      </c>
      <c r="S107" s="131">
        <f t="shared" si="100"/>
        <v>829014.05999999994</v>
      </c>
      <c r="T107" s="104">
        <v>598030.47</v>
      </c>
      <c r="U107" s="104">
        <v>151417.03</v>
      </c>
      <c r="V107" s="104">
        <v>8241.9599999999991</v>
      </c>
      <c r="W107" s="104">
        <v>5300</v>
      </c>
      <c r="X107" s="104">
        <v>66024.600000000006</v>
      </c>
      <c r="Y107" s="131">
        <f t="shared" ref="Y107:Y108" si="101">SUM(Z107:AD107)</f>
        <v>249989.91</v>
      </c>
      <c r="Z107" s="104">
        <v>144283.95000000001</v>
      </c>
      <c r="AA107" s="104">
        <v>66337.48</v>
      </c>
      <c r="AB107" s="104">
        <v>3072.48</v>
      </c>
      <c r="AC107" s="104">
        <v>36296</v>
      </c>
      <c r="AD107" s="104"/>
    </row>
    <row r="108" spans="1:30" x14ac:dyDescent="0.25">
      <c r="A108" s="152"/>
      <c r="B108" s="103" t="str">
        <f>IF(L!$A$1=1,L!B229,IF(L!$A$1=2,L!C229,L!D229))</f>
        <v>2022 Dhjetor</v>
      </c>
      <c r="C108" s="131">
        <f t="shared" si="92"/>
        <v>3558056.1</v>
      </c>
      <c r="D108" s="104"/>
      <c r="E108" s="104"/>
      <c r="F108" s="104"/>
      <c r="G108" s="104"/>
      <c r="H108" s="104"/>
      <c r="I108" s="104"/>
      <c r="J108" s="104"/>
      <c r="K108" s="104"/>
      <c r="L108" s="104"/>
      <c r="M108" s="104">
        <f t="shared" si="99"/>
        <v>1847213.5899999999</v>
      </c>
      <c r="N108" s="104">
        <v>87741.929999999906</v>
      </c>
      <c r="O108" s="104">
        <v>245063.74</v>
      </c>
      <c r="P108" s="104">
        <v>21991.699999999997</v>
      </c>
      <c r="Q108" s="104">
        <v>96720</v>
      </c>
      <c r="R108" s="104">
        <v>1395696.22</v>
      </c>
      <c r="S108" s="131">
        <f t="shared" si="100"/>
        <v>1321230.45</v>
      </c>
      <c r="T108" s="104">
        <v>607478.54</v>
      </c>
      <c r="U108" s="104">
        <v>504041.81</v>
      </c>
      <c r="V108" s="104">
        <v>16628.93</v>
      </c>
      <c r="W108" s="104">
        <v>11500</v>
      </c>
      <c r="X108" s="104">
        <v>181581.17</v>
      </c>
      <c r="Y108" s="131">
        <f t="shared" si="101"/>
        <v>389612.06</v>
      </c>
      <c r="Z108" s="104">
        <v>146865.32999999999</v>
      </c>
      <c r="AA108" s="104">
        <v>124680.67</v>
      </c>
      <c r="AB108" s="104">
        <v>2830.36</v>
      </c>
      <c r="AC108" s="104">
        <v>2200</v>
      </c>
      <c r="AD108" s="104">
        <v>113035.7</v>
      </c>
    </row>
    <row r="109" spans="1:30" x14ac:dyDescent="0.25">
      <c r="A109" s="153"/>
      <c r="B109" s="124" t="str">
        <f>IF(L!$A$1=1,L!B230,IF(L!$A$1=2,L!C230,L!D230))</f>
        <v>Gjithsej 2022</v>
      </c>
      <c r="C109" s="123">
        <f t="shared" si="92"/>
        <v>18338617.379999999</v>
      </c>
      <c r="D109" s="123">
        <f>E109+M109</f>
        <v>7406117.2503599999</v>
      </c>
      <c r="E109" s="123">
        <f>F109+G109+H109+I109+L109</f>
        <v>786598.25035999995</v>
      </c>
      <c r="F109" s="123">
        <f t="shared" ref="F109:L109" si="102">SUM(F97:F108)</f>
        <v>199842.55405999999</v>
      </c>
      <c r="G109" s="123">
        <f t="shared" si="102"/>
        <v>89609.018400000001</v>
      </c>
      <c r="H109" s="123">
        <f t="shared" si="102"/>
        <v>9770.3237100000006</v>
      </c>
      <c r="I109" s="123">
        <f t="shared" si="102"/>
        <v>309270.71338999999</v>
      </c>
      <c r="J109" s="121">
        <f t="shared" si="102"/>
        <v>249135.98098000002</v>
      </c>
      <c r="K109" s="121">
        <f t="shared" si="102"/>
        <v>60134.732409999997</v>
      </c>
      <c r="L109" s="121">
        <f t="shared" si="102"/>
        <v>178105.64079999999</v>
      </c>
      <c r="M109" s="121">
        <f>SUM(N109:R109)</f>
        <v>6619519</v>
      </c>
      <c r="N109" s="121">
        <f t="shared" ref="N109:R109" si="103">SUM(N97:N108)</f>
        <v>1272111.6800000002</v>
      </c>
      <c r="O109" s="121">
        <f t="shared" si="103"/>
        <v>1591895.17</v>
      </c>
      <c r="P109" s="121">
        <f t="shared" si="103"/>
        <v>242606.52999999997</v>
      </c>
      <c r="Q109" s="121">
        <f t="shared" si="103"/>
        <v>770699.47</v>
      </c>
      <c r="R109" s="121">
        <f t="shared" si="103"/>
        <v>2742206.15</v>
      </c>
      <c r="S109" s="121">
        <f>SUM(T109:X109)</f>
        <v>9017858.8699999992</v>
      </c>
      <c r="T109" s="121">
        <f t="shared" ref="T109:X109" si="104">SUM(T97:T108)</f>
        <v>7085763.6499999994</v>
      </c>
      <c r="U109" s="121">
        <f t="shared" si="104"/>
        <v>1298015.8299999998</v>
      </c>
      <c r="V109" s="121">
        <f t="shared" si="104"/>
        <v>102682.62</v>
      </c>
      <c r="W109" s="121">
        <f t="shared" si="104"/>
        <v>64825</v>
      </c>
      <c r="X109" s="121">
        <f t="shared" si="104"/>
        <v>466571.77</v>
      </c>
      <c r="Y109" s="121">
        <f>SUM(Z109:AD109)</f>
        <v>2701239.5100000002</v>
      </c>
      <c r="Z109" s="121">
        <f t="shared" ref="Z109:AD109" si="105">SUM(Z97:Z108)</f>
        <v>1742638.2</v>
      </c>
      <c r="AA109" s="121">
        <f t="shared" si="105"/>
        <v>427582.00999999995</v>
      </c>
      <c r="AB109" s="121">
        <f t="shared" si="105"/>
        <v>35785.72</v>
      </c>
      <c r="AC109" s="121">
        <f t="shared" si="105"/>
        <v>348004.57999999996</v>
      </c>
      <c r="AD109" s="121">
        <f t="shared" si="105"/>
        <v>147229</v>
      </c>
    </row>
    <row r="110" spans="1:30" x14ac:dyDescent="0.25">
      <c r="A110" s="151">
        <v>2023</v>
      </c>
      <c r="B110" s="103" t="str">
        <f>IF(L!$A$1=1,L!B231,IF(L!$A$1=2,L!C231,L!D231))</f>
        <v>2023 Janar</v>
      </c>
      <c r="C110" s="131">
        <f t="shared" ref="C110:C122" si="106">M110+S110+Y110</f>
        <v>828852.29</v>
      </c>
      <c r="D110" s="104">
        <f>E110+M110</f>
        <v>165097.18920999998</v>
      </c>
      <c r="E110" s="104">
        <f>F110+G110+H110+I110+L110</f>
        <v>57713.659209999998</v>
      </c>
      <c r="F110" s="104">
        <v>24846.235489999999</v>
      </c>
      <c r="G110" s="104">
        <v>1301.9379300000001</v>
      </c>
      <c r="H110" s="104">
        <v>469.39997</v>
      </c>
      <c r="I110" s="105">
        <f t="shared" ref="I110:I113" si="107">SUM(J110:K110)</f>
        <v>30409.931329999999</v>
      </c>
      <c r="J110" s="104">
        <v>27498.698</v>
      </c>
      <c r="K110" s="104">
        <v>2911.23333</v>
      </c>
      <c r="L110" s="104">
        <v>686.15449000000001</v>
      </c>
      <c r="M110" s="104">
        <f t="shared" ref="M110:M115" si="108">SUM(N110:R110)</f>
        <v>107383.52999999997</v>
      </c>
      <c r="N110" s="104">
        <f>827139.01-T110-Z110</f>
        <v>106393.52999999997</v>
      </c>
      <c r="O110" s="104">
        <f>723.28-U110</f>
        <v>0</v>
      </c>
      <c r="P110" s="104"/>
      <c r="Q110" s="104">
        <v>990</v>
      </c>
      <c r="R110" s="104"/>
      <c r="S110" s="131">
        <f t="shared" ref="S110:S115" si="109">SUM(T110:X110)</f>
        <v>576913.56000000006</v>
      </c>
      <c r="T110" s="104">
        <v>576190.28</v>
      </c>
      <c r="U110" s="104">
        <v>723.28</v>
      </c>
      <c r="V110" s="104"/>
      <c r="W110" s="104"/>
      <c r="X110" s="104"/>
      <c r="Y110" s="131">
        <f t="shared" ref="Y110:Y119" si="110">SUM(Z110:AD110)</f>
        <v>144555.20000000001</v>
      </c>
      <c r="Z110" s="104">
        <v>144555.20000000001</v>
      </c>
      <c r="AA110" s="104"/>
      <c r="AB110" s="104"/>
      <c r="AC110" s="104"/>
      <c r="AD110" s="104"/>
    </row>
    <row r="111" spans="1:30" x14ac:dyDescent="0.25">
      <c r="A111" s="151"/>
      <c r="B111" s="103" t="str">
        <f>IF(L!$A$1=1,L!B232,IF(L!$A$1=2,L!C232,L!D232))</f>
        <v>2023 Shkurt</v>
      </c>
      <c r="C111" s="131">
        <f t="shared" si="106"/>
        <v>1300989.0699999998</v>
      </c>
      <c r="D111" s="104">
        <f t="shared" ref="D111:D114" si="111">E111+M111</f>
        <v>404084.27056000003</v>
      </c>
      <c r="E111" s="104">
        <f t="shared" ref="E111:E114" si="112">F111+G111+H111+I111+L111</f>
        <v>87018.600559999992</v>
      </c>
      <c r="F111" s="104">
        <v>25348.27275</v>
      </c>
      <c r="G111" s="104">
        <v>12435.78448</v>
      </c>
      <c r="H111" s="104">
        <v>2584.5733500000001</v>
      </c>
      <c r="I111" s="105">
        <f t="shared" si="107"/>
        <v>35523.365980000002</v>
      </c>
      <c r="J111" s="104">
        <v>29987.650020000001</v>
      </c>
      <c r="K111" s="104">
        <v>5535.7159600000005</v>
      </c>
      <c r="L111" s="104">
        <v>11126.603999999999</v>
      </c>
      <c r="M111" s="104">
        <f t="shared" si="108"/>
        <v>317065.67000000004</v>
      </c>
      <c r="N111" s="104">
        <f>1013942.95-T111-Z111</f>
        <v>144759.87</v>
      </c>
      <c r="O111" s="104">
        <f>238951.17-U111-AA111</f>
        <v>149377.68000000002</v>
      </c>
      <c r="P111" s="104">
        <f>34714.95-V111-AB111</f>
        <v>19508.12</v>
      </c>
      <c r="Q111" s="104">
        <f>13380-AC111</f>
        <v>3420</v>
      </c>
      <c r="R111" s="104"/>
      <c r="S111" s="131">
        <f t="shared" si="109"/>
        <v>783556.02</v>
      </c>
      <c r="T111" s="104">
        <v>702126.58</v>
      </c>
      <c r="U111" s="104">
        <v>70442.52</v>
      </c>
      <c r="V111" s="104">
        <v>10986.92</v>
      </c>
      <c r="W111" s="104"/>
      <c r="X111" s="104"/>
      <c r="Y111" s="131">
        <f t="shared" si="110"/>
        <v>200367.38</v>
      </c>
      <c r="Z111" s="104">
        <v>167056.5</v>
      </c>
      <c r="AA111" s="104">
        <v>19130.97</v>
      </c>
      <c r="AB111" s="104">
        <v>4219.91</v>
      </c>
      <c r="AC111" s="104">
        <v>9960</v>
      </c>
      <c r="AD111" s="104"/>
    </row>
    <row r="112" spans="1:30" x14ac:dyDescent="0.25">
      <c r="A112" s="151"/>
      <c r="B112" s="103" t="str">
        <f>IF(L!$A$1=1,L!B233,IF(L!$A$1=2,L!C233,L!D233))</f>
        <v xml:space="preserve">2023 Mars </v>
      </c>
      <c r="C112" s="131">
        <f t="shared" si="106"/>
        <v>1589525.34</v>
      </c>
      <c r="D112" s="104">
        <f t="shared" si="111"/>
        <v>519922.03101999999</v>
      </c>
      <c r="E112" s="104">
        <f t="shared" si="112"/>
        <v>110996.73102000001</v>
      </c>
      <c r="F112" s="104">
        <v>24671.084579999999</v>
      </c>
      <c r="G112" s="104">
        <f>13602.18788+3.63797880709171E-12</f>
        <v>13602.187880000003</v>
      </c>
      <c r="H112" s="104">
        <v>1470.13113</v>
      </c>
      <c r="I112" s="105">
        <f t="shared" si="107"/>
        <v>41293.796000000002</v>
      </c>
      <c r="J112" s="104">
        <v>31926.155299999999</v>
      </c>
      <c r="K112" s="104">
        <v>9367.6406999999999</v>
      </c>
      <c r="L112" s="104">
        <v>29959.531429999999</v>
      </c>
      <c r="M112" s="104">
        <f t="shared" si="108"/>
        <v>408925.3</v>
      </c>
      <c r="N112" s="104">
        <f>1006632.89-T112-Z112</f>
        <v>135944.93999999997</v>
      </c>
      <c r="O112" s="104">
        <f>510671.45-U112-AA112</f>
        <v>235554.32</v>
      </c>
      <c r="P112" s="104">
        <f>47721-V112-AB112</f>
        <v>28126.04</v>
      </c>
      <c r="Q112" s="104">
        <f>24500-W112-AC112</f>
        <v>9300</v>
      </c>
      <c r="R112" s="104"/>
      <c r="S112" s="131">
        <f t="shared" si="109"/>
        <v>962821.9800000001</v>
      </c>
      <c r="T112" s="104">
        <v>704937.92</v>
      </c>
      <c r="U112" s="104">
        <v>238389.14</v>
      </c>
      <c r="V112" s="104">
        <v>19294.919999999998</v>
      </c>
      <c r="W112" s="140">
        <v>200</v>
      </c>
      <c r="X112" s="104"/>
      <c r="Y112" s="131">
        <f t="shared" si="110"/>
        <v>217778.06</v>
      </c>
      <c r="Z112" s="104">
        <v>165750.03</v>
      </c>
      <c r="AA112" s="104">
        <v>36727.99</v>
      </c>
      <c r="AB112" s="104">
        <v>300.04000000000002</v>
      </c>
      <c r="AC112" s="104">
        <v>15000</v>
      </c>
      <c r="AD112" s="104"/>
    </row>
    <row r="113" spans="1:30" x14ac:dyDescent="0.25">
      <c r="A113" s="151"/>
      <c r="B113" s="103" t="str">
        <f>IF(L!$A$1=1,L!B234,IF(L!$A$1=2,L!C234,L!D234))</f>
        <v>2023 Prill</v>
      </c>
      <c r="C113" s="131">
        <f t="shared" si="106"/>
        <v>1489424.58</v>
      </c>
      <c r="D113" s="104">
        <f t="shared" si="111"/>
        <v>487915.11502000003</v>
      </c>
      <c r="E113" s="104">
        <f t="shared" si="112"/>
        <v>99928.195020000014</v>
      </c>
      <c r="F113" s="104">
        <v>25058.463449999999</v>
      </c>
      <c r="G113" s="104">
        <v>13938.50973</v>
      </c>
      <c r="H113" s="104">
        <v>1722.8931499999999</v>
      </c>
      <c r="I113" s="105">
        <f t="shared" si="107"/>
        <v>40998.962180000002</v>
      </c>
      <c r="J113" s="104">
        <v>31609.135450000002</v>
      </c>
      <c r="K113" s="104">
        <f>9389.82673</f>
        <v>9389.8267300000007</v>
      </c>
      <c r="L113" s="104">
        <v>18209.36651</v>
      </c>
      <c r="M113" s="104">
        <f t="shared" si="108"/>
        <v>387986.92000000004</v>
      </c>
      <c r="N113" s="104">
        <f>1012245.53-T113-Z113</f>
        <v>142018.66000000003</v>
      </c>
      <c r="O113" s="104">
        <f>400878.83-U113-AA113</f>
        <v>197036.35000000003</v>
      </c>
      <c r="P113" s="104">
        <f>52100.22-V113-AB113</f>
        <v>35731.910000000003</v>
      </c>
      <c r="Q113" s="104">
        <f>13200</f>
        <v>13200</v>
      </c>
      <c r="R113" s="104"/>
      <c r="S113" s="131">
        <f t="shared" si="109"/>
        <v>875601.65</v>
      </c>
      <c r="T113" s="104">
        <v>705213.48</v>
      </c>
      <c r="U113" s="104">
        <v>162972.60999999999</v>
      </c>
      <c r="V113" s="104">
        <v>7415.56</v>
      </c>
      <c r="W113" s="88"/>
      <c r="X113" s="104"/>
      <c r="Y113" s="131">
        <f t="shared" si="110"/>
        <v>225836.01</v>
      </c>
      <c r="Z113" s="104">
        <v>165013.39000000001</v>
      </c>
      <c r="AA113" s="104">
        <v>40869.870000000003</v>
      </c>
      <c r="AB113" s="104">
        <v>8952.75</v>
      </c>
      <c r="AC113" s="104"/>
      <c r="AD113" s="104">
        <v>11000</v>
      </c>
    </row>
    <row r="114" spans="1:30" x14ac:dyDescent="0.25">
      <c r="A114" s="151"/>
      <c r="B114" s="103" t="str">
        <f>IF(L!$A$1=1,L!B235,IF(L!$A$1=2,L!C235,L!D235))</f>
        <v>2023 Maj</v>
      </c>
      <c r="C114" s="131">
        <f t="shared" si="106"/>
        <v>1568616.08</v>
      </c>
      <c r="D114" s="104">
        <f t="shared" si="111"/>
        <v>577284.32749000005</v>
      </c>
      <c r="E114" s="104">
        <f t="shared" si="112"/>
        <v>108203.85748999999</v>
      </c>
      <c r="F114" s="104">
        <v>25176.423500000001</v>
      </c>
      <c r="G114" s="104">
        <v>14788.43672</v>
      </c>
      <c r="H114" s="104">
        <v>1029.37871</v>
      </c>
      <c r="I114" s="105">
        <f>SUM(J114:K114)</f>
        <v>39702.245540000004</v>
      </c>
      <c r="J114" s="104">
        <v>31959.173699999999</v>
      </c>
      <c r="K114" s="104">
        <f>7742.36933+0.70251</f>
        <v>7743.0718400000005</v>
      </c>
      <c r="L114" s="104">
        <v>27507.373019999999</v>
      </c>
      <c r="M114" s="104">
        <f t="shared" si="108"/>
        <v>469080.47000000009</v>
      </c>
      <c r="N114" s="104">
        <f>1020764.04-T114-Z114</f>
        <v>143183.19</v>
      </c>
      <c r="O114" s="104">
        <f>355715.33-U114-AA114</f>
        <v>182237.40000000002</v>
      </c>
      <c r="P114" s="104">
        <f>48240.3-V114-AB114</f>
        <v>27613.47</v>
      </c>
      <c r="Q114" s="104">
        <f>108330.4-W114-AC114</f>
        <v>80480.399999999994</v>
      </c>
      <c r="R114" s="104">
        <v>35566.01</v>
      </c>
      <c r="S114" s="131">
        <f t="shared" si="109"/>
        <v>882567.95000000007</v>
      </c>
      <c r="T114" s="104">
        <v>706725.3</v>
      </c>
      <c r="U114" s="104">
        <v>144771.25</v>
      </c>
      <c r="V114" s="104">
        <v>15671.4</v>
      </c>
      <c r="W114" s="142">
        <v>15400</v>
      </c>
      <c r="X114" s="104"/>
      <c r="Y114" s="131">
        <f t="shared" si="110"/>
        <v>216967.65999999997</v>
      </c>
      <c r="Z114" s="104">
        <v>170855.55</v>
      </c>
      <c r="AA114" s="104">
        <v>28706.68</v>
      </c>
      <c r="AB114" s="104">
        <v>4955.43</v>
      </c>
      <c r="AC114" s="104">
        <v>12450</v>
      </c>
      <c r="AD114" s="104"/>
    </row>
    <row r="115" spans="1:30" x14ac:dyDescent="0.25">
      <c r="A115" s="151"/>
      <c r="B115" s="103" t="str">
        <f>IF(L!$A$1=1,L!B236,IF(L!$A$1=2,L!C236,L!D236))</f>
        <v>2023 Qershor</v>
      </c>
      <c r="C115" s="131">
        <f t="shared" si="106"/>
        <v>1538270.85</v>
      </c>
      <c r="D115" s="104">
        <f>E115+M115</f>
        <v>542814.55578000005</v>
      </c>
      <c r="E115" s="104">
        <f>F115+G115+H115+I115+L115</f>
        <v>106702.39577999998</v>
      </c>
      <c r="F115" s="104">
        <v>25102.682019999993</v>
      </c>
      <c r="G115" s="104">
        <v>10844.51352</v>
      </c>
      <c r="H115" s="104">
        <v>772.52707000000009</v>
      </c>
      <c r="I115" s="105">
        <f>SUM(J115:K115)</f>
        <v>39202.052119999978</v>
      </c>
      <c r="J115" s="104">
        <v>32126.547020000002</v>
      </c>
      <c r="K115" s="104">
        <v>7075.5050999999803</v>
      </c>
      <c r="L115" s="104">
        <v>30780.621050000002</v>
      </c>
      <c r="M115" s="104">
        <f t="shared" si="108"/>
        <v>436112.16000000003</v>
      </c>
      <c r="N115" s="104">
        <f>1057025.52-T115-Z115</f>
        <v>158279.39999999997</v>
      </c>
      <c r="O115" s="104">
        <f>401784.09-U115-AA115</f>
        <v>232202.75000000003</v>
      </c>
      <c r="P115" s="104">
        <f>34226.24-V115-AB115</f>
        <v>21445.009999999995</v>
      </c>
      <c r="Q115" s="104">
        <f>45235-W115-AC115</f>
        <v>24185</v>
      </c>
      <c r="R115" s="104"/>
      <c r="S115" s="131">
        <f t="shared" si="109"/>
        <v>902844.67000000016</v>
      </c>
      <c r="T115" s="104">
        <v>737767.17</v>
      </c>
      <c r="U115" s="104">
        <v>148248.44</v>
      </c>
      <c r="V115" s="104">
        <v>8129.06</v>
      </c>
      <c r="W115" s="104">
        <v>8700</v>
      </c>
      <c r="X115" s="104"/>
      <c r="Y115" s="131">
        <f t="shared" si="110"/>
        <v>199314.02000000002</v>
      </c>
      <c r="Z115" s="104">
        <v>160978.95000000001</v>
      </c>
      <c r="AA115" s="104">
        <v>21332.9</v>
      </c>
      <c r="AB115" s="104">
        <v>4652.17</v>
      </c>
      <c r="AC115" s="104">
        <v>12350</v>
      </c>
      <c r="AD115" s="104"/>
    </row>
    <row r="116" spans="1:30" s="132" customFormat="1" x14ac:dyDescent="0.25">
      <c r="A116" s="151"/>
      <c r="B116" s="103" t="str">
        <f>IF(L!$A$1=1,L!B237,IF(L!$A$1=2,L!C237,L!D237))</f>
        <v>2023 Korrik</v>
      </c>
      <c r="C116" s="131">
        <f t="shared" si="106"/>
        <v>1562429.5400000003</v>
      </c>
      <c r="D116" s="104">
        <f>E116+M116</f>
        <v>627866.7773800001</v>
      </c>
      <c r="E116" s="104">
        <f>F116+G116+H116+I116+L116</f>
        <v>109225.46738000003</v>
      </c>
      <c r="F116" s="104">
        <v>24978.209360000001</v>
      </c>
      <c r="G116" s="104">
        <v>11062.969240000006</v>
      </c>
      <c r="H116" s="104">
        <v>935.6237799999999</v>
      </c>
      <c r="I116" s="105">
        <f>SUM(J116:K116)</f>
        <v>45737.674990000021</v>
      </c>
      <c r="J116" s="104">
        <v>36228.048600000002</v>
      </c>
      <c r="K116" s="104">
        <v>9509.6263900000195</v>
      </c>
      <c r="L116" s="104">
        <v>26510.990009999994</v>
      </c>
      <c r="M116" s="104">
        <f>SUM(N116:R116)</f>
        <v>518641.31000000011</v>
      </c>
      <c r="N116" s="104">
        <f>1058978.37-T116-Z117</f>
        <v>180109.89000000013</v>
      </c>
      <c r="O116" s="104">
        <f>240636.91-U116-AA116</f>
        <v>152564.67000000001</v>
      </c>
      <c r="P116" s="104">
        <f>25901-V116-AB116</f>
        <v>16943.599999999999</v>
      </c>
      <c r="Q116" s="104">
        <f>56751.1-W116-AC116</f>
        <v>54151.1</v>
      </c>
      <c r="R116" s="104">
        <f>169843.97-X116</f>
        <v>114872.05</v>
      </c>
      <c r="S116" s="131">
        <f>SUM(T116:X116)</f>
        <v>878924.39</v>
      </c>
      <c r="T116" s="104">
        <v>730230.24</v>
      </c>
      <c r="U116" s="104">
        <v>82764.83</v>
      </c>
      <c r="V116" s="104">
        <v>8957.4</v>
      </c>
      <c r="W116" s="104">
        <v>2000</v>
      </c>
      <c r="X116" s="104">
        <v>54971.92</v>
      </c>
      <c r="Y116" s="131">
        <f t="shared" si="110"/>
        <v>164863.84</v>
      </c>
      <c r="Z116" s="104">
        <v>158956.43</v>
      </c>
      <c r="AA116" s="104">
        <v>5307.41</v>
      </c>
      <c r="AC116" s="104">
        <v>600</v>
      </c>
      <c r="AD116" s="104"/>
    </row>
    <row r="117" spans="1:30" x14ac:dyDescent="0.25">
      <c r="A117" s="151"/>
      <c r="B117" s="103" t="str">
        <f>IF(L!$A$1=1,L!B238,IF(L!$A$1=2,L!C238,L!D238))</f>
        <v>2023 Gusht</v>
      </c>
      <c r="C117" s="131">
        <f t="shared" si="106"/>
        <v>2238432.4600000004</v>
      </c>
      <c r="D117" s="104">
        <f>E117+M117</f>
        <v>944364.01390000002</v>
      </c>
      <c r="E117" s="104">
        <f>F117+G117+H117+I117+L117</f>
        <v>106809.34389999999</v>
      </c>
      <c r="F117" s="104">
        <v>24661.182910000003</v>
      </c>
      <c r="G117" s="104">
        <v>11634.678899999999</v>
      </c>
      <c r="H117" s="104">
        <v>785.79655000000093</v>
      </c>
      <c r="I117" s="105">
        <f>SUM(J117:K117)</f>
        <v>36402.685249999995</v>
      </c>
      <c r="J117" s="104">
        <v>27800.572889999999</v>
      </c>
      <c r="K117" s="104">
        <v>8602.1123599999992</v>
      </c>
      <c r="L117" s="104">
        <v>33325.000289999996</v>
      </c>
      <c r="M117" s="104">
        <f>SUM(N117:R117)</f>
        <v>837554.67</v>
      </c>
      <c r="N117" s="104">
        <f>1012829.81-T117-Z117</f>
        <v>154412.80000000005</v>
      </c>
      <c r="O117" s="104">
        <f>359142.33-U117-AA117</f>
        <v>189294.47000000003</v>
      </c>
      <c r="P117" s="104">
        <f>30329.97-V117-AB117</f>
        <v>21781.739999999998</v>
      </c>
      <c r="Q117" s="104">
        <f>123320-W117-AC117</f>
        <v>53365</v>
      </c>
      <c r="R117" s="104">
        <f>712810.35-X117-AD117</f>
        <v>418700.66</v>
      </c>
      <c r="S117" s="131">
        <f>SUM(T117:X117)</f>
        <v>1073718.3600000001</v>
      </c>
      <c r="T117" s="127">
        <v>709778.77</v>
      </c>
      <c r="U117" s="127">
        <v>115447.09</v>
      </c>
      <c r="V117" s="127">
        <v>5598.81</v>
      </c>
      <c r="W117" s="127">
        <v>47425</v>
      </c>
      <c r="X117" s="127">
        <v>195468.69</v>
      </c>
      <c r="Y117" s="131">
        <f t="shared" si="110"/>
        <v>327159.43</v>
      </c>
      <c r="Z117" s="104">
        <v>148638.24</v>
      </c>
      <c r="AA117" s="104">
        <v>54400.77</v>
      </c>
      <c r="AB117" s="104">
        <v>2949.42</v>
      </c>
      <c r="AC117" s="104">
        <v>22530</v>
      </c>
      <c r="AD117" s="104">
        <v>98641</v>
      </c>
    </row>
    <row r="118" spans="1:30" x14ac:dyDescent="0.25">
      <c r="A118" s="151"/>
      <c r="B118" s="103" t="str">
        <f>IF(L!$A$1=1,L!B239,IF(L!$A$1=2,L!C239,L!D239))</f>
        <v>2023 Shtator</v>
      </c>
      <c r="C118" s="131">
        <f t="shared" si="106"/>
        <v>2034972.6199999999</v>
      </c>
      <c r="D118" s="104"/>
      <c r="E118" s="104"/>
      <c r="F118" s="104"/>
      <c r="G118" s="104"/>
      <c r="H118" s="104"/>
      <c r="I118" s="104"/>
      <c r="J118" s="104"/>
      <c r="K118" s="104"/>
      <c r="L118" s="104"/>
      <c r="M118" s="104">
        <f t="shared" ref="M118:M121" si="113">SUM(N118:R118)</f>
        <v>1110792.0899999999</v>
      </c>
      <c r="N118" s="104">
        <f>1011954.19-T118-Z118</f>
        <v>352475.08999999997</v>
      </c>
      <c r="O118" s="104">
        <f>403790.77-U118-AA118</f>
        <v>294579.5</v>
      </c>
      <c r="P118" s="104">
        <f>23608.24-V118-AB118</f>
        <v>16852.86</v>
      </c>
      <c r="Q118" s="104">
        <f>113475-W118-AC118</f>
        <v>110975</v>
      </c>
      <c r="R118" s="104">
        <f>482144.42-X118</f>
        <v>335909.64</v>
      </c>
      <c r="S118" s="143">
        <f t="shared" ref="S118:S121" si="114">SUM(T118:X118)</f>
        <v>719133.14</v>
      </c>
      <c r="T118" s="145">
        <v>497500.3</v>
      </c>
      <c r="U118" s="145">
        <v>70149.490000000005</v>
      </c>
      <c r="V118" s="145">
        <v>3448.57</v>
      </c>
      <c r="W118" s="145">
        <v>1800</v>
      </c>
      <c r="X118" s="145">
        <v>146234.78</v>
      </c>
      <c r="Y118" s="144">
        <f t="shared" si="110"/>
        <v>205047.38999999998</v>
      </c>
      <c r="Z118" s="104">
        <v>161978.79999999999</v>
      </c>
      <c r="AA118" s="104">
        <v>39061.78</v>
      </c>
      <c r="AB118" s="104">
        <v>3306.81</v>
      </c>
      <c r="AC118" s="104">
        <v>700</v>
      </c>
      <c r="AD118" s="104"/>
    </row>
    <row r="119" spans="1:30" x14ac:dyDescent="0.25">
      <c r="A119" s="152"/>
      <c r="B119" s="103" t="str">
        <f>IF(L!$A$1=1,L!B240,IF(L!$A$1=2,L!C240,L!D240))</f>
        <v>2023 Tetor</v>
      </c>
      <c r="C119" s="131">
        <f t="shared" si="106"/>
        <v>3337216.6600000006</v>
      </c>
      <c r="D119" s="104"/>
      <c r="E119" s="104"/>
      <c r="F119" s="104"/>
      <c r="G119" s="104"/>
      <c r="H119" s="104"/>
      <c r="I119" s="104"/>
      <c r="J119" s="104"/>
      <c r="K119" s="104"/>
      <c r="L119" s="104"/>
      <c r="M119" s="104">
        <f t="shared" si="113"/>
        <v>2120733.87</v>
      </c>
      <c r="N119" s="104">
        <f>1055346.71-T119-Z119</f>
        <v>356923.66999999993</v>
      </c>
      <c r="O119" s="104">
        <f>411114.26-U119-AA119</f>
        <v>231427.66999999998</v>
      </c>
      <c r="P119" s="104">
        <f>37402.32-V119-AB119</f>
        <v>23129.809999999998</v>
      </c>
      <c r="Q119" s="104">
        <f>342950.15-W119-AC119</f>
        <v>214210.00000000006</v>
      </c>
      <c r="R119" s="104">
        <f>1490403.22-X119-AD119</f>
        <v>1295042.72</v>
      </c>
      <c r="S119" s="143">
        <f t="shared" si="114"/>
        <v>843384.90000000014</v>
      </c>
      <c r="T119" s="146">
        <v>536046.89</v>
      </c>
      <c r="U119" s="146">
        <v>144679.70000000001</v>
      </c>
      <c r="V119" s="146">
        <v>5386.52</v>
      </c>
      <c r="W119" s="146">
        <v>5045.29</v>
      </c>
      <c r="X119" s="146">
        <v>152226.5</v>
      </c>
      <c r="Y119" s="144">
        <f t="shared" si="110"/>
        <v>373097.88999999996</v>
      </c>
      <c r="Z119" s="104">
        <v>162376.15</v>
      </c>
      <c r="AA119" s="137">
        <v>35006.89</v>
      </c>
      <c r="AB119" s="137">
        <v>8885.99</v>
      </c>
      <c r="AC119" s="137">
        <v>123694.86</v>
      </c>
      <c r="AD119" s="104">
        <v>43134</v>
      </c>
    </row>
    <row r="120" spans="1:30" x14ac:dyDescent="0.25">
      <c r="A120" s="152"/>
      <c r="B120" s="103" t="str">
        <f>IF(L!$A$1=1,L!B241,IF(L!$A$1=2,L!C241,L!D241))</f>
        <v xml:space="preserve">2023 Nëntor </v>
      </c>
      <c r="C120" s="131">
        <f t="shared" si="106"/>
        <v>2815708.5199999996</v>
      </c>
      <c r="D120" s="104"/>
      <c r="E120" s="104"/>
      <c r="F120" s="104"/>
      <c r="G120" s="104"/>
      <c r="H120" s="104"/>
      <c r="I120" s="104"/>
      <c r="J120" s="104"/>
      <c r="K120" s="104"/>
      <c r="L120" s="104"/>
      <c r="M120" s="104">
        <f t="shared" si="113"/>
        <v>1702076.4</v>
      </c>
      <c r="N120" s="104">
        <f>1015236.87-T120-Z120</f>
        <v>358083.42</v>
      </c>
      <c r="O120" s="104">
        <f>385451.57-U120-AA119</f>
        <v>279774.38</v>
      </c>
      <c r="P120" s="104">
        <f>36166.03-V120-AB120</f>
        <v>23098.719999999998</v>
      </c>
      <c r="Q120" s="104">
        <f>184806.5-W120-AC119</f>
        <v>39261.64</v>
      </c>
      <c r="R120" s="104">
        <f>1244765.33-X120-AD120</f>
        <v>1001858.24</v>
      </c>
      <c r="S120" s="131">
        <f t="shared" si="114"/>
        <v>660819.49</v>
      </c>
      <c r="T120" s="146">
        <v>497042.33</v>
      </c>
      <c r="U120" s="146">
        <v>70670.3</v>
      </c>
      <c r="V120" s="146">
        <v>11639.26</v>
      </c>
      <c r="W120" s="146">
        <v>21850</v>
      </c>
      <c r="X120" s="146">
        <v>59617.599999999999</v>
      </c>
      <c r="Y120" s="131">
        <f t="shared" ref="Y120:Y121" si="115">SUM(Z120:AD120)</f>
        <v>452812.63</v>
      </c>
      <c r="Z120" s="104">
        <v>160111.12</v>
      </c>
      <c r="AA120" s="104">
        <v>99733.97</v>
      </c>
      <c r="AB120" s="104">
        <v>1428.05</v>
      </c>
      <c r="AC120" s="104">
        <v>8250</v>
      </c>
      <c r="AD120" s="104">
        <v>183289.49</v>
      </c>
    </row>
    <row r="121" spans="1:30" x14ac:dyDescent="0.25">
      <c r="A121" s="152"/>
      <c r="B121" s="103" t="str">
        <f>IF(L!$A$1=1,L!B242,IF(L!$A$1=2,L!C242,L!D242))</f>
        <v>2023 Dhjetor</v>
      </c>
      <c r="C121" s="131">
        <f t="shared" si="106"/>
        <v>5897944.1900000013</v>
      </c>
      <c r="D121" s="104"/>
      <c r="E121" s="104"/>
      <c r="F121" s="104"/>
      <c r="G121" s="104"/>
      <c r="H121" s="104"/>
      <c r="I121" s="104"/>
      <c r="J121" s="104"/>
      <c r="K121" s="104"/>
      <c r="L121" s="104"/>
      <c r="M121" s="104">
        <f t="shared" si="113"/>
        <v>4040831.8200000003</v>
      </c>
      <c r="N121" s="104">
        <f>1049359.94-T121-Z121</f>
        <v>382916.58999999997</v>
      </c>
      <c r="O121" s="104">
        <f>712493.09-U121-AA121</f>
        <v>240075.69</v>
      </c>
      <c r="P121" s="104">
        <f>77047.97-V121-AB121</f>
        <v>40257.33</v>
      </c>
      <c r="Q121" s="104">
        <f>102274.95-W121-AC121</f>
        <v>58030</v>
      </c>
      <c r="R121" s="104">
        <f>3956768.24-X121-AD121</f>
        <v>3319552.2100000004</v>
      </c>
      <c r="S121" s="131">
        <f t="shared" si="114"/>
        <v>1069540.81</v>
      </c>
      <c r="T121" s="104">
        <v>495864.69</v>
      </c>
      <c r="U121" s="104">
        <v>115137.31</v>
      </c>
      <c r="V121" s="104">
        <v>26056.35</v>
      </c>
      <c r="W121" s="104">
        <v>39844.949999999997</v>
      </c>
      <c r="X121" s="104">
        <v>392637.51</v>
      </c>
      <c r="Y121" s="131">
        <f t="shared" si="115"/>
        <v>787571.56</v>
      </c>
      <c r="Z121" s="104">
        <v>170578.66</v>
      </c>
      <c r="AA121" s="104">
        <v>357280.09</v>
      </c>
      <c r="AB121" s="104">
        <v>10734.29</v>
      </c>
      <c r="AC121" s="104">
        <v>4400</v>
      </c>
      <c r="AD121" s="104">
        <v>244578.52</v>
      </c>
    </row>
    <row r="122" spans="1:30" x14ac:dyDescent="0.25">
      <c r="A122" s="153"/>
      <c r="B122" s="124" t="str">
        <f>IF(L!$A$1=1,L!B243,IF(L!$A$1=2,L!C243,L!D243))</f>
        <v>Gjithsej 2023</v>
      </c>
      <c r="C122" s="123">
        <f t="shared" si="106"/>
        <v>26202382.200000003</v>
      </c>
      <c r="D122" s="123">
        <f>E122+M122</f>
        <v>13243782.460360002</v>
      </c>
      <c r="E122" s="123">
        <f>F122+G122+H122+I122+L122</f>
        <v>786598.25035999995</v>
      </c>
      <c r="F122" s="123">
        <f t="shared" ref="F122:L122" si="116">SUM(F110:F121)</f>
        <v>199842.55405999999</v>
      </c>
      <c r="G122" s="123">
        <f t="shared" si="116"/>
        <v>89609.018400000001</v>
      </c>
      <c r="H122" s="123">
        <f t="shared" si="116"/>
        <v>9770.3237100000006</v>
      </c>
      <c r="I122" s="123">
        <f t="shared" si="116"/>
        <v>309270.71338999999</v>
      </c>
      <c r="J122" s="121">
        <f t="shared" si="116"/>
        <v>249135.98098000002</v>
      </c>
      <c r="K122" s="121">
        <f t="shared" si="116"/>
        <v>60134.732409999997</v>
      </c>
      <c r="L122" s="121">
        <f t="shared" si="116"/>
        <v>178105.64079999999</v>
      </c>
      <c r="M122" s="121">
        <f>SUM(N122:R122)</f>
        <v>12457184.210000001</v>
      </c>
      <c r="N122" s="121">
        <f t="shared" ref="N122:R122" si="117">SUM(N110:N121)</f>
        <v>2615501.0499999998</v>
      </c>
      <c r="O122" s="121">
        <f t="shared" si="117"/>
        <v>2384124.88</v>
      </c>
      <c r="P122" s="121">
        <f t="shared" si="117"/>
        <v>274488.61</v>
      </c>
      <c r="Q122" s="121">
        <f t="shared" si="117"/>
        <v>661568.14</v>
      </c>
      <c r="R122" s="121">
        <f t="shared" si="117"/>
        <v>6521501.5300000012</v>
      </c>
      <c r="S122" s="121">
        <f>SUM(T122:X122)</f>
        <v>10229826.92</v>
      </c>
      <c r="T122" s="121">
        <f t="shared" ref="T122:X122" si="118">SUM(T110:T121)</f>
        <v>7599423.9500000002</v>
      </c>
      <c r="U122" s="121">
        <f t="shared" si="118"/>
        <v>1364395.96</v>
      </c>
      <c r="V122" s="121">
        <f t="shared" si="118"/>
        <v>122584.76999999999</v>
      </c>
      <c r="W122" s="121">
        <f t="shared" si="118"/>
        <v>142265.24</v>
      </c>
      <c r="X122" s="121">
        <f t="shared" si="118"/>
        <v>1001157</v>
      </c>
      <c r="Y122" s="121">
        <f>SUM(Z122:AD122)</f>
        <v>3515371.0699999994</v>
      </c>
      <c r="Z122" s="121">
        <f t="shared" ref="Z122:AD122" si="119">SUM(Z110:Z121)</f>
        <v>1936849.0199999998</v>
      </c>
      <c r="AA122" s="121">
        <f t="shared" si="119"/>
        <v>737559.32000000007</v>
      </c>
      <c r="AB122" s="121">
        <f t="shared" si="119"/>
        <v>50384.860000000008</v>
      </c>
      <c r="AC122" s="121">
        <f t="shared" si="119"/>
        <v>209934.86</v>
      </c>
      <c r="AD122" s="121">
        <f t="shared" si="119"/>
        <v>580643.01</v>
      </c>
    </row>
    <row r="123" spans="1:30" x14ac:dyDescent="0.25">
      <c r="A123" s="151">
        <v>2024</v>
      </c>
      <c r="B123" s="103" t="s">
        <v>879</v>
      </c>
      <c r="C123" s="131">
        <f t="shared" ref="C123:C135" si="120">M123+S123+Y123</f>
        <v>1328662.4500000002</v>
      </c>
      <c r="D123" s="104">
        <f>E123+M123</f>
        <v>410950.16921000008</v>
      </c>
      <c r="E123" s="104">
        <f>F123+G123+H123+I123+L123</f>
        <v>57713.659209999998</v>
      </c>
      <c r="F123" s="104">
        <v>24846.235489999999</v>
      </c>
      <c r="G123" s="104">
        <v>1301.9379300000001</v>
      </c>
      <c r="H123" s="104">
        <v>469.39997</v>
      </c>
      <c r="I123" s="105">
        <f t="shared" ref="I123:I126" si="121">SUM(J123:K123)</f>
        <v>30409.931329999999</v>
      </c>
      <c r="J123" s="104">
        <v>27498.698</v>
      </c>
      <c r="K123" s="104">
        <v>2911.23333</v>
      </c>
      <c r="L123" s="104">
        <v>686.15449000000001</v>
      </c>
      <c r="M123" s="104">
        <f t="shared" ref="M123:M128" si="122">SUM(N123:R123)</f>
        <v>353236.51000000007</v>
      </c>
      <c r="N123" s="104">
        <f>1064420.85-T123-Z123</f>
        <v>159241.58000000007</v>
      </c>
      <c r="O123" s="104">
        <f>212071.57-U123-AA123</f>
        <v>163572.25000000003</v>
      </c>
      <c r="P123" s="104">
        <f>41270.03-V123-AB123</f>
        <v>24822.679999999997</v>
      </c>
      <c r="Q123" s="104">
        <f>10900-W123-AC123</f>
        <v>5600</v>
      </c>
      <c r="R123" s="104"/>
      <c r="S123" s="131">
        <f t="shared" ref="S123:S128" si="123">SUM(T123:X123)</f>
        <v>787821.33000000007</v>
      </c>
      <c r="T123" s="146">
        <v>737718.52</v>
      </c>
      <c r="U123" s="104">
        <v>34517.519999999997</v>
      </c>
      <c r="V123" s="104">
        <v>12485.29</v>
      </c>
      <c r="W123" s="104">
        <v>3100</v>
      </c>
      <c r="X123" s="104"/>
      <c r="Y123" s="131">
        <f t="shared" ref="Y123:Y132" si="124">SUM(Z123:AD123)</f>
        <v>187604.61</v>
      </c>
      <c r="Z123" s="104">
        <v>167460.75</v>
      </c>
      <c r="AA123" s="104">
        <v>13981.8</v>
      </c>
      <c r="AB123" s="104">
        <v>3962.06</v>
      </c>
      <c r="AC123" s="104">
        <v>2200</v>
      </c>
      <c r="AD123" s="104"/>
    </row>
    <row r="124" spans="1:30" x14ac:dyDescent="0.25">
      <c r="A124" s="151"/>
      <c r="B124" s="103" t="s">
        <v>878</v>
      </c>
      <c r="C124" s="131">
        <f t="shared" si="120"/>
        <v>3015940.7</v>
      </c>
      <c r="D124" s="104">
        <f t="shared" ref="D124:D127" si="125">E124+M124</f>
        <v>954975.3505599997</v>
      </c>
      <c r="E124" s="104">
        <f t="shared" ref="E124:E127" si="126">F124+G124+H124+I124+L124</f>
        <v>87018.600559999992</v>
      </c>
      <c r="F124" s="104">
        <v>25348.27275</v>
      </c>
      <c r="G124" s="104">
        <v>12435.78448</v>
      </c>
      <c r="H124" s="104">
        <v>2584.5733500000001</v>
      </c>
      <c r="I124" s="105">
        <f t="shared" si="121"/>
        <v>35523.365980000002</v>
      </c>
      <c r="J124" s="104">
        <v>29987.650020000001</v>
      </c>
      <c r="K124" s="104">
        <v>5535.7159600000005</v>
      </c>
      <c r="L124" s="104">
        <v>11126.603999999999</v>
      </c>
      <c r="M124" s="104">
        <f t="shared" si="122"/>
        <v>867956.74999999977</v>
      </c>
      <c r="N124" s="104">
        <v>368517.92999999982</v>
      </c>
      <c r="O124" s="104">
        <v>246761.07</v>
      </c>
      <c r="P124" s="104">
        <v>24927.75</v>
      </c>
      <c r="Q124" s="104">
        <v>11750</v>
      </c>
      <c r="R124" s="104">
        <v>216000</v>
      </c>
      <c r="S124" s="131">
        <f t="shared" si="123"/>
        <v>1904936.54</v>
      </c>
      <c r="T124" s="146">
        <v>1691456.01</v>
      </c>
      <c r="U124" s="104">
        <v>189991.58</v>
      </c>
      <c r="V124" s="104">
        <v>12488.95</v>
      </c>
      <c r="W124" s="104">
        <v>11000</v>
      </c>
      <c r="X124" s="104"/>
      <c r="Y124" s="131">
        <f t="shared" si="124"/>
        <v>243047.41</v>
      </c>
      <c r="Z124" s="104">
        <v>170733.42</v>
      </c>
      <c r="AA124" s="104">
        <v>46522.44</v>
      </c>
      <c r="AB124" s="104">
        <v>4481.55</v>
      </c>
      <c r="AC124" s="104">
        <v>21310</v>
      </c>
      <c r="AD124" s="104"/>
    </row>
    <row r="125" spans="1:30" s="106" customFormat="1" x14ac:dyDescent="0.25">
      <c r="A125" s="151"/>
      <c r="B125" s="103" t="s">
        <v>880</v>
      </c>
      <c r="C125" s="131">
        <f t="shared" si="120"/>
        <v>1899383.21</v>
      </c>
      <c r="D125" s="104">
        <f t="shared" si="125"/>
        <v>936379.1310200002</v>
      </c>
      <c r="E125" s="104">
        <f t="shared" si="126"/>
        <v>110996.73102000001</v>
      </c>
      <c r="F125" s="104">
        <v>24671.084579999999</v>
      </c>
      <c r="G125" s="104">
        <f>13602.18788+3.63797880709171E-12</f>
        <v>13602.187880000003</v>
      </c>
      <c r="H125" s="104">
        <v>1470.13113</v>
      </c>
      <c r="I125" s="105">
        <f t="shared" si="121"/>
        <v>41293.796000000002</v>
      </c>
      <c r="J125" s="104">
        <v>31926.155299999999</v>
      </c>
      <c r="K125" s="104">
        <v>9367.6406999999999</v>
      </c>
      <c r="L125" s="104">
        <v>29959.531429999999</v>
      </c>
      <c r="M125" s="104">
        <f t="shared" si="122"/>
        <v>825382.40000000014</v>
      </c>
      <c r="N125" s="104">
        <v>152295.13000000018</v>
      </c>
      <c r="O125" s="104">
        <v>251862.57</v>
      </c>
      <c r="P125" s="104">
        <v>18643.699999999997</v>
      </c>
      <c r="Q125" s="104">
        <v>91798</v>
      </c>
      <c r="R125" s="104">
        <v>310783</v>
      </c>
      <c r="S125" s="131">
        <f t="shared" si="123"/>
        <v>871884.83999999985</v>
      </c>
      <c r="T125" s="146">
        <v>733036.40999999992</v>
      </c>
      <c r="U125" s="104">
        <v>107233.99</v>
      </c>
      <c r="V125" s="104">
        <v>12329.44</v>
      </c>
      <c r="W125" s="104">
        <v>19285</v>
      </c>
      <c r="X125" s="104"/>
      <c r="Y125" s="131">
        <f t="shared" si="124"/>
        <v>202115.97</v>
      </c>
      <c r="Z125" s="104">
        <v>165434.57</v>
      </c>
      <c r="AA125" s="104">
        <v>30852</v>
      </c>
      <c r="AB125" s="104">
        <v>3279.4</v>
      </c>
      <c r="AC125" s="104">
        <v>2550</v>
      </c>
      <c r="AD125" s="104"/>
    </row>
    <row r="126" spans="1:30" s="106" customFormat="1" x14ac:dyDescent="0.25">
      <c r="A126" s="151"/>
      <c r="B126" s="103" t="s">
        <v>881</v>
      </c>
      <c r="C126" s="131">
        <f t="shared" si="120"/>
        <v>3099497.1700000004</v>
      </c>
      <c r="D126" s="104">
        <f t="shared" si="125"/>
        <v>1760933.1750200004</v>
      </c>
      <c r="E126" s="104">
        <f t="shared" si="126"/>
        <v>99928.195020000014</v>
      </c>
      <c r="F126" s="104">
        <v>25058.463449999999</v>
      </c>
      <c r="G126" s="104">
        <v>13938.50973</v>
      </c>
      <c r="H126" s="104">
        <v>1722.8931499999999</v>
      </c>
      <c r="I126" s="105">
        <f t="shared" si="121"/>
        <v>40998.962180000002</v>
      </c>
      <c r="J126" s="104">
        <v>31609.135450000002</v>
      </c>
      <c r="K126" s="104">
        <f>9389.82673</f>
        <v>9389.8267300000007</v>
      </c>
      <c r="L126" s="104">
        <v>18209.36651</v>
      </c>
      <c r="M126" s="104">
        <f t="shared" si="122"/>
        <v>1661004.9800000004</v>
      </c>
      <c r="N126" s="104">
        <v>226287.93000000023</v>
      </c>
      <c r="O126" s="104">
        <v>417455.0500000001</v>
      </c>
      <c r="P126" s="104">
        <v>10558.530000000002</v>
      </c>
      <c r="Q126" s="104">
        <v>124610</v>
      </c>
      <c r="R126" s="104">
        <v>882093.47</v>
      </c>
      <c r="S126" s="131">
        <f t="shared" si="123"/>
        <v>1114163.1599999999</v>
      </c>
      <c r="T126" s="146">
        <v>867907.83</v>
      </c>
      <c r="U126" s="104">
        <v>96379.010000000009</v>
      </c>
      <c r="V126" s="104">
        <v>11720.22</v>
      </c>
      <c r="W126" s="104">
        <v>13750</v>
      </c>
      <c r="X126" s="104">
        <v>124406.1</v>
      </c>
      <c r="Y126" s="131">
        <f t="shared" si="124"/>
        <v>324329.02999999997</v>
      </c>
      <c r="Z126" s="104">
        <v>172277.44</v>
      </c>
      <c r="AA126" s="104">
        <v>75392.539999999994</v>
      </c>
      <c r="AB126" s="104">
        <v>5909.05</v>
      </c>
      <c r="AC126" s="104">
        <v>70750</v>
      </c>
      <c r="AD126" s="104"/>
    </row>
    <row r="127" spans="1:30" s="106" customFormat="1" x14ac:dyDescent="0.25">
      <c r="A127" s="151"/>
      <c r="B127" s="103" t="s">
        <v>882</v>
      </c>
      <c r="C127" s="131">
        <f t="shared" si="120"/>
        <v>2184788.4500000002</v>
      </c>
      <c r="D127" s="104">
        <f t="shared" si="125"/>
        <v>1169130.2374900002</v>
      </c>
      <c r="E127" s="104">
        <f t="shared" si="126"/>
        <v>108203.85748999999</v>
      </c>
      <c r="F127" s="104">
        <v>25176.423500000001</v>
      </c>
      <c r="G127" s="104">
        <v>14788.43672</v>
      </c>
      <c r="H127" s="104">
        <v>1029.37871</v>
      </c>
      <c r="I127" s="105">
        <f>SUM(J127:K127)</f>
        <v>39702.245540000004</v>
      </c>
      <c r="J127" s="104">
        <v>31959.173699999999</v>
      </c>
      <c r="K127" s="104">
        <f>7742.36933+0.70251</f>
        <v>7743.0718400000005</v>
      </c>
      <c r="L127" s="104">
        <v>27507.373019999999</v>
      </c>
      <c r="M127" s="104">
        <f t="shared" si="122"/>
        <v>1060926.3800000001</v>
      </c>
      <c r="N127" s="104">
        <v>224546.07000000018</v>
      </c>
      <c r="O127" s="104">
        <v>418959.46999999991</v>
      </c>
      <c r="P127" s="104">
        <v>57602.17</v>
      </c>
      <c r="Q127" s="104">
        <v>56730.670000000006</v>
      </c>
      <c r="R127" s="104">
        <v>303088</v>
      </c>
      <c r="S127" s="131">
        <f t="shared" si="123"/>
        <v>879477.24</v>
      </c>
      <c r="T127" s="146">
        <v>676160.87</v>
      </c>
      <c r="U127" s="104">
        <v>140573.03</v>
      </c>
      <c r="V127" s="104">
        <v>9643.34</v>
      </c>
      <c r="W127" s="104">
        <v>8100</v>
      </c>
      <c r="X127" s="104">
        <v>45000</v>
      </c>
      <c r="Y127" s="131">
        <f t="shared" si="124"/>
        <v>244384.83</v>
      </c>
      <c r="Z127" s="104">
        <v>172200.24</v>
      </c>
      <c r="AA127" s="104">
        <v>16890.96</v>
      </c>
      <c r="AB127" s="104">
        <v>2962.28</v>
      </c>
      <c r="AC127" s="104">
        <v>24331.35</v>
      </c>
      <c r="AD127" s="104">
        <v>28000</v>
      </c>
    </row>
    <row r="128" spans="1:30" s="107" customFormat="1" x14ac:dyDescent="0.25">
      <c r="A128" s="151"/>
      <c r="B128" s="103" t="s">
        <v>883</v>
      </c>
      <c r="C128" s="131">
        <f t="shared" si="120"/>
        <v>2133618.61</v>
      </c>
      <c r="D128" s="104">
        <f>E128+M128</f>
        <v>953295.14578000002</v>
      </c>
      <c r="E128" s="104">
        <f>F128+G128+H128+I128+L128</f>
        <v>106702.39577999998</v>
      </c>
      <c r="F128" s="104">
        <v>25102.682019999993</v>
      </c>
      <c r="G128" s="104">
        <v>10844.51352</v>
      </c>
      <c r="H128" s="104">
        <v>772.52707000000009</v>
      </c>
      <c r="I128" s="105">
        <f>SUM(J128:K128)</f>
        <v>39202.052119999978</v>
      </c>
      <c r="J128" s="104">
        <v>32126.547020000002</v>
      </c>
      <c r="K128" s="104">
        <v>7075.5050999999803</v>
      </c>
      <c r="L128" s="104">
        <v>30780.621050000002</v>
      </c>
      <c r="M128" s="104">
        <f t="shared" si="122"/>
        <v>846592.75</v>
      </c>
      <c r="N128" s="104">
        <v>230436.41999999995</v>
      </c>
      <c r="O128" s="104">
        <v>271384.86</v>
      </c>
      <c r="P128" s="104">
        <v>20863.91</v>
      </c>
      <c r="Q128" s="104">
        <v>28059.850000000006</v>
      </c>
      <c r="R128" s="104">
        <v>295847.71000000002</v>
      </c>
      <c r="S128" s="131">
        <f t="shared" si="123"/>
        <v>1023628.56</v>
      </c>
      <c r="T128" s="146">
        <v>751896.29</v>
      </c>
      <c r="U128" s="104">
        <v>62841.3</v>
      </c>
      <c r="V128" s="104">
        <v>10690.97</v>
      </c>
      <c r="W128" s="104">
        <v>48200</v>
      </c>
      <c r="X128" s="104">
        <v>150000</v>
      </c>
      <c r="Y128" s="131">
        <f t="shared" si="124"/>
        <v>263397.3</v>
      </c>
      <c r="Z128" s="104">
        <v>179460.28</v>
      </c>
      <c r="AA128" s="104">
        <v>15118.33</v>
      </c>
      <c r="AB128" s="104">
        <v>4478.6899999999996</v>
      </c>
      <c r="AC128" s="104">
        <v>44650</v>
      </c>
      <c r="AD128" s="104">
        <v>19690</v>
      </c>
    </row>
    <row r="129" spans="1:30" x14ac:dyDescent="0.25">
      <c r="A129" s="151"/>
      <c r="B129" s="103" t="s">
        <v>884</v>
      </c>
      <c r="C129" s="131">
        <f t="shared" si="120"/>
        <v>2339913.73</v>
      </c>
      <c r="D129" s="104">
        <f>E129+M129</f>
        <v>1141425.2273800001</v>
      </c>
      <c r="E129" s="104">
        <f>F129+G129+H129+I129+L129</f>
        <v>109225.46738000003</v>
      </c>
      <c r="F129" s="104">
        <v>24978.209360000001</v>
      </c>
      <c r="G129" s="104">
        <v>11062.969240000006</v>
      </c>
      <c r="H129" s="104">
        <v>935.6237799999999</v>
      </c>
      <c r="I129" s="105">
        <f>SUM(J129:K129)</f>
        <v>45737.674990000021</v>
      </c>
      <c r="J129" s="104">
        <v>36228.048600000002</v>
      </c>
      <c r="K129" s="104">
        <v>9509.6263900000195</v>
      </c>
      <c r="L129" s="104">
        <v>26510.990009999994</v>
      </c>
      <c r="M129" s="104">
        <f>SUM(N129:R129)</f>
        <v>1032199.76</v>
      </c>
      <c r="N129" s="104">
        <v>152611.33000000002</v>
      </c>
      <c r="O129" s="104">
        <v>221122.01</v>
      </c>
      <c r="P129" s="104">
        <v>14652.760000000002</v>
      </c>
      <c r="Q129" s="104">
        <v>84685.450000000012</v>
      </c>
      <c r="R129" s="104">
        <v>559128.21</v>
      </c>
      <c r="S129" s="131">
        <f>SUM(T129:X129)</f>
        <v>923231.45000000007</v>
      </c>
      <c r="T129" s="146">
        <v>760064.82</v>
      </c>
      <c r="U129" s="104">
        <v>97584.55</v>
      </c>
      <c r="V129" s="104">
        <v>14257.9</v>
      </c>
      <c r="W129" s="104">
        <v>23765</v>
      </c>
      <c r="X129" s="104">
        <v>27559.18</v>
      </c>
      <c r="Y129" s="131">
        <f t="shared" si="124"/>
        <v>384482.52</v>
      </c>
      <c r="Z129" s="104">
        <v>174049.32</v>
      </c>
      <c r="AA129" s="104">
        <v>74508.990000000005</v>
      </c>
      <c r="AB129" s="104">
        <v>3074.21</v>
      </c>
      <c r="AC129" s="104">
        <v>94000</v>
      </c>
      <c r="AD129" s="104">
        <v>38850</v>
      </c>
    </row>
    <row r="130" spans="1:30" x14ac:dyDescent="0.25">
      <c r="A130" s="151"/>
      <c r="B130" s="103" t="s">
        <v>885</v>
      </c>
      <c r="C130" s="131"/>
      <c r="D130" s="104"/>
      <c r="E130" s="104"/>
      <c r="F130" s="104"/>
      <c r="G130" s="104"/>
      <c r="H130" s="104"/>
      <c r="I130" s="105"/>
      <c r="J130" s="104"/>
      <c r="K130" s="104"/>
      <c r="L130" s="104"/>
      <c r="M130" s="104"/>
      <c r="N130" s="104"/>
      <c r="O130" s="104"/>
      <c r="P130" s="104"/>
      <c r="Q130" s="104"/>
      <c r="R130" s="104"/>
      <c r="S130" s="131"/>
      <c r="T130" s="127"/>
      <c r="U130" s="127"/>
      <c r="V130" s="127"/>
      <c r="W130" s="127"/>
      <c r="X130" s="127"/>
      <c r="Y130" s="131"/>
      <c r="Z130" s="104"/>
      <c r="AA130" s="104"/>
      <c r="AB130" s="104"/>
      <c r="AC130" s="104"/>
      <c r="AD130" s="104"/>
    </row>
    <row r="131" spans="1:30" x14ac:dyDescent="0.25">
      <c r="A131" s="151"/>
      <c r="B131" s="103" t="s">
        <v>886</v>
      </c>
      <c r="C131" s="131"/>
      <c r="D131" s="104"/>
      <c r="E131" s="104"/>
      <c r="F131" s="104"/>
      <c r="G131" s="104"/>
      <c r="H131" s="104"/>
      <c r="I131" s="104"/>
      <c r="J131" s="104"/>
      <c r="K131" s="104"/>
      <c r="L131" s="104"/>
      <c r="M131" s="104"/>
      <c r="N131" s="104"/>
      <c r="O131" s="104"/>
      <c r="P131" s="104"/>
      <c r="Q131" s="104"/>
      <c r="R131" s="104"/>
      <c r="S131" s="143"/>
      <c r="T131" s="145"/>
      <c r="U131" s="145"/>
      <c r="V131" s="145"/>
      <c r="W131" s="145"/>
      <c r="X131" s="145"/>
      <c r="Y131" s="144"/>
      <c r="Z131" s="104"/>
      <c r="AA131" s="104"/>
      <c r="AB131" s="104"/>
      <c r="AC131" s="104"/>
      <c r="AD131" s="104"/>
    </row>
    <row r="132" spans="1:30" x14ac:dyDescent="0.25">
      <c r="A132" s="152"/>
      <c r="B132" s="103" t="s">
        <v>887</v>
      </c>
      <c r="C132" s="131"/>
      <c r="D132" s="104"/>
      <c r="E132" s="104"/>
      <c r="F132" s="104"/>
      <c r="G132" s="104"/>
      <c r="H132" s="104"/>
      <c r="I132" s="104"/>
      <c r="J132" s="104"/>
      <c r="K132" s="104"/>
      <c r="L132" s="104"/>
      <c r="M132" s="104"/>
      <c r="N132" s="104"/>
      <c r="O132" s="104"/>
      <c r="P132" s="104"/>
      <c r="Q132" s="104"/>
      <c r="R132" s="104"/>
      <c r="S132" s="143"/>
      <c r="T132" s="146"/>
      <c r="U132" s="146"/>
      <c r="V132" s="146"/>
      <c r="W132" s="146"/>
      <c r="X132" s="146"/>
      <c r="Y132" s="144"/>
      <c r="Z132" s="104"/>
      <c r="AA132" s="137"/>
      <c r="AB132" s="137"/>
      <c r="AC132" s="137"/>
      <c r="AD132" s="104"/>
    </row>
    <row r="133" spans="1:30" x14ac:dyDescent="0.25">
      <c r="A133" s="152"/>
      <c r="B133" s="103" t="s">
        <v>888</v>
      </c>
      <c r="C133" s="131"/>
      <c r="D133" s="104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  <c r="R133" s="104"/>
      <c r="S133" s="131"/>
      <c r="T133" s="146"/>
      <c r="U133" s="146"/>
      <c r="V133" s="146"/>
      <c r="W133" s="146"/>
      <c r="X133" s="146"/>
      <c r="Y133" s="131"/>
      <c r="Z133" s="104"/>
      <c r="AA133" s="104"/>
      <c r="AB133" s="104"/>
      <c r="AC133" s="104"/>
      <c r="AD133" s="104"/>
    </row>
    <row r="134" spans="1:30" x14ac:dyDescent="0.25">
      <c r="A134" s="152"/>
      <c r="B134" s="103" t="s">
        <v>889</v>
      </c>
      <c r="C134" s="131">
        <f t="shared" si="120"/>
        <v>0</v>
      </c>
      <c r="D134" s="104"/>
      <c r="E134" s="104"/>
      <c r="F134" s="104"/>
      <c r="G134" s="104"/>
      <c r="H134" s="104"/>
      <c r="I134" s="104"/>
      <c r="J134" s="104"/>
      <c r="K134" s="104"/>
      <c r="L134" s="104"/>
      <c r="M134" s="104">
        <f t="shared" ref="M131:M134" si="127">SUM(N134:R134)</f>
        <v>0</v>
      </c>
      <c r="N134" s="104"/>
      <c r="O134" s="104"/>
      <c r="P134" s="104"/>
      <c r="Q134" s="104"/>
      <c r="R134" s="104"/>
      <c r="S134" s="131">
        <f t="shared" ref="S131:S134" si="128">SUM(T134:X134)</f>
        <v>0</v>
      </c>
      <c r="T134" s="104"/>
      <c r="U134" s="104"/>
      <c r="V134" s="104"/>
      <c r="W134" s="104"/>
      <c r="X134" s="104"/>
      <c r="Y134" s="131">
        <f t="shared" ref="Y133:Y134" si="129">SUM(Z134:AD134)</f>
        <v>0</v>
      </c>
      <c r="Z134" s="104"/>
      <c r="AA134" s="104"/>
      <c r="AB134" s="104"/>
      <c r="AC134" s="104"/>
      <c r="AD134" s="104"/>
    </row>
    <row r="135" spans="1:30" x14ac:dyDescent="0.25">
      <c r="A135" s="153"/>
      <c r="B135" s="124" t="s">
        <v>890</v>
      </c>
      <c r="C135" s="123">
        <f t="shared" si="120"/>
        <v>16001804.320000002</v>
      </c>
      <c r="D135" s="123">
        <f>E135+M135</f>
        <v>7327088.4364600014</v>
      </c>
      <c r="E135" s="123">
        <f>F135+G135+H135+I135+L135</f>
        <v>679788.90645999997</v>
      </c>
      <c r="F135" s="123">
        <f t="shared" ref="F135:L135" si="130">SUM(F123:F134)</f>
        <v>175181.37114999999</v>
      </c>
      <c r="G135" s="123">
        <f t="shared" si="130"/>
        <v>77974.339500000002</v>
      </c>
      <c r="H135" s="123">
        <f t="shared" si="130"/>
        <v>8984.5271599999996</v>
      </c>
      <c r="I135" s="123">
        <f t="shared" si="130"/>
        <v>272868.02814000001</v>
      </c>
      <c r="J135" s="121">
        <f t="shared" si="130"/>
        <v>221335.40809000001</v>
      </c>
      <c r="K135" s="121">
        <f t="shared" si="130"/>
        <v>51532.620049999998</v>
      </c>
      <c r="L135" s="121">
        <f t="shared" si="130"/>
        <v>144780.64051</v>
      </c>
      <c r="M135" s="121">
        <f>SUM(N135:R135)</f>
        <v>6647299.5300000012</v>
      </c>
      <c r="N135" s="121">
        <f t="shared" ref="N135:R135" si="131">SUM(N123:N134)</f>
        <v>1513936.3900000006</v>
      </c>
      <c r="O135" s="121">
        <f t="shared" si="131"/>
        <v>1991117.28</v>
      </c>
      <c r="P135" s="121">
        <f t="shared" si="131"/>
        <v>172071.5</v>
      </c>
      <c r="Q135" s="121">
        <f t="shared" si="131"/>
        <v>403233.97000000003</v>
      </c>
      <c r="R135" s="121">
        <f t="shared" si="131"/>
        <v>2566940.3899999997</v>
      </c>
      <c r="S135" s="121">
        <f>SUM(T135:X135)</f>
        <v>7505143.120000002</v>
      </c>
      <c r="T135" s="121">
        <f t="shared" ref="T135:X135" si="132">SUM(T123:T134)</f>
        <v>6218240.7500000009</v>
      </c>
      <c r="U135" s="121">
        <f t="shared" si="132"/>
        <v>729120.9800000001</v>
      </c>
      <c r="V135" s="121">
        <f t="shared" si="132"/>
        <v>83616.11</v>
      </c>
      <c r="W135" s="121">
        <f t="shared" si="132"/>
        <v>127200</v>
      </c>
      <c r="X135" s="121">
        <f t="shared" si="132"/>
        <v>346965.27999999997</v>
      </c>
      <c r="Y135" s="121">
        <f>SUM(Z135:AD135)</f>
        <v>1849361.6700000002</v>
      </c>
      <c r="Z135" s="121">
        <f t="shared" ref="Z135:AD135" si="133">SUM(Z123:Z134)</f>
        <v>1201616.02</v>
      </c>
      <c r="AA135" s="121">
        <f t="shared" si="133"/>
        <v>273267.06</v>
      </c>
      <c r="AB135" s="121">
        <f t="shared" si="133"/>
        <v>28147.239999999998</v>
      </c>
      <c r="AC135" s="121">
        <f t="shared" si="133"/>
        <v>259791.35</v>
      </c>
      <c r="AD135" s="121">
        <f t="shared" si="133"/>
        <v>86540</v>
      </c>
    </row>
  </sheetData>
  <mergeCells count="16">
    <mergeCell ref="Y4:Y5"/>
    <mergeCell ref="M4:M5"/>
    <mergeCell ref="S4:S5"/>
    <mergeCell ref="A45:A57"/>
    <mergeCell ref="A32:A44"/>
    <mergeCell ref="A6:A18"/>
    <mergeCell ref="A19:A31"/>
    <mergeCell ref="A123:A135"/>
    <mergeCell ref="D1:D2"/>
    <mergeCell ref="B3:B5"/>
    <mergeCell ref="A3:A5"/>
    <mergeCell ref="A58:A70"/>
    <mergeCell ref="A110:A122"/>
    <mergeCell ref="A97:A109"/>
    <mergeCell ref="A84:A96"/>
    <mergeCell ref="A71:A83"/>
  </mergeCells>
  <pageMargins left="0.25" right="0.25" top="0.75" bottom="0.75" header="0.3" footer="0.3"/>
  <pageSetup paperSize="9" scale="55" fitToHeight="0" orientation="landscape" r:id="rId1"/>
  <rowBreaks count="1" manualBreakCount="1">
    <brk id="44" max="2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12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V216"/>
  <sheetViews>
    <sheetView zoomScale="80" zoomScaleNormal="80" zoomScaleSheetLayoutView="70" workbookViewId="0">
      <pane xSplit="2" ySplit="3" topLeftCell="C109" activePane="bottomRight" state="frozen"/>
      <selection pane="topRight" activeCell="C1" sqref="C1"/>
      <selection pane="bottomLeft" activeCell="A9" sqref="A9"/>
      <selection pane="bottomRight" activeCell="P132" sqref="C128:P132"/>
    </sheetView>
  </sheetViews>
  <sheetFormatPr defaultColWidth="9.140625" defaultRowHeight="15" x14ac:dyDescent="0.25"/>
  <cols>
    <col min="1" max="1" width="7.140625" style="1" customWidth="1"/>
    <col min="2" max="2" width="15.85546875" style="1" customWidth="1"/>
    <col min="3" max="3" width="16.5703125" style="1" customWidth="1"/>
    <col min="4" max="4" width="20.140625" style="1" hidden="1" customWidth="1"/>
    <col min="5" max="5" width="24.5703125" style="1" hidden="1" customWidth="1"/>
    <col min="6" max="6" width="15.140625" style="1" hidden="1" customWidth="1"/>
    <col min="7" max="7" width="22.42578125" style="2" hidden="1" customWidth="1"/>
    <col min="8" max="8" width="20.140625" style="2" hidden="1" customWidth="1"/>
    <col min="9" max="9" width="15.28515625" style="2" bestFit="1" customWidth="1"/>
    <col min="10" max="10" width="13.85546875" style="2" bestFit="1" customWidth="1"/>
    <col min="11" max="11" width="16.7109375" style="2" bestFit="1" customWidth="1"/>
    <col min="12" max="12" width="15.28515625" style="1" customWidth="1"/>
    <col min="13" max="13" width="18.140625" style="1" bestFit="1" customWidth="1"/>
    <col min="14" max="14" width="12.7109375" style="1" bestFit="1" customWidth="1"/>
    <col min="15" max="15" width="17.28515625" style="1" bestFit="1" customWidth="1"/>
    <col min="16" max="16" width="13.85546875" style="1" customWidth="1"/>
    <col min="17" max="17" width="13.42578125" style="3" customWidth="1"/>
    <col min="18" max="18" width="16.85546875" style="3" customWidth="1"/>
    <col min="19" max="19" width="13.85546875" style="3" customWidth="1"/>
    <col min="20" max="20" width="13.42578125" style="3" customWidth="1"/>
    <col min="21" max="22" width="9.140625" style="3"/>
    <col min="23" max="16384" width="9.140625" style="1"/>
  </cols>
  <sheetData>
    <row r="1" spans="1:22" s="3" customFormat="1" ht="26.25" customHeight="1" x14ac:dyDescent="0.25">
      <c r="A1" s="19" t="str">
        <f>IF(L!$A$1=1,L!G6,IF(L!$A$1=2,L!G16,L!G26))</f>
        <v>Tabela 2: Pranimet</v>
      </c>
      <c r="B1" s="19"/>
      <c r="D1" s="163" t="s">
        <v>609</v>
      </c>
      <c r="G1" s="4"/>
      <c r="H1" s="4"/>
      <c r="I1" s="4"/>
      <c r="J1" s="4"/>
      <c r="K1" s="4"/>
    </row>
    <row r="2" spans="1:22" s="3" customFormat="1" ht="17.25" customHeight="1" x14ac:dyDescent="0.25">
      <c r="A2" s="81" t="s">
        <v>876</v>
      </c>
      <c r="B2" s="82"/>
      <c r="C2" s="16"/>
      <c r="D2" s="164"/>
      <c r="E2" s="16"/>
      <c r="F2" s="16"/>
      <c r="G2" s="16"/>
      <c r="H2" s="17"/>
      <c r="I2" s="16"/>
      <c r="J2" s="17"/>
      <c r="K2" s="17"/>
      <c r="L2" s="16"/>
      <c r="M2" s="16"/>
      <c r="N2" s="16"/>
      <c r="O2" s="16"/>
      <c r="P2" s="16"/>
    </row>
    <row r="3" spans="1:22" s="2" customFormat="1" ht="41.25" customHeight="1" x14ac:dyDescent="0.25">
      <c r="A3" s="83" t="str">
        <f>IF(L!$A$1=1,L!G8,IF(L!$A$1=2,L!G18,L!G28))</f>
        <v>Viti</v>
      </c>
      <c r="B3" s="83" t="str">
        <f>IF(L!$A$1=1,L!H8,IF(L!$A$1=2,L!H18,L!H28))</f>
        <v>Viti / Muaji</v>
      </c>
      <c r="C3" s="84" t="str">
        <f>IF(L!$A$1=1,L!I8,IF(L!$A$1=2,L!I18,L!I28))</f>
        <v>Gjithsej Pranimet</v>
      </c>
      <c r="D3" s="74" t="str">
        <f>IF(L!$A$1=1,L!J8,IF(L!$A$1=2,L!J18,L!J28))</f>
        <v>Të Hyrat Buxhetore</v>
      </c>
      <c r="E3" s="74" t="str">
        <f>IF(L!$A$1=1,L!K8,IF(L!$A$1=2,L!K18,L!K28))</f>
        <v>Të Hyrat Tatimore</v>
      </c>
      <c r="F3" s="85" t="str">
        <f>IF(L!$A$1=1,L!L8,IF(L!$A$1=2,L!L18,L!L28))</f>
        <v>Tatimet direkte</v>
      </c>
      <c r="G3" s="74" t="str">
        <f>IF(L!$A$1=1,L!M8,IF(L!$A$1=2,L!M18,L!M28))</f>
        <v>Tatimi në të ardhura të koorporatave</v>
      </c>
      <c r="H3" s="74" t="str">
        <f>IF(L!$A$1=1,L!N8,IF(L!$A$1=2,L!N18,L!N28))</f>
        <v>Tatimi në të ardhura personale</v>
      </c>
      <c r="I3" s="74" t="str">
        <f>IF(L!$A$1=1,L!O8,IF(L!$A$1=2,L!O18,L!O28))</f>
        <v xml:space="preserve">Tatimi në pronë </v>
      </c>
      <c r="J3" s="85" t="s">
        <v>870</v>
      </c>
      <c r="K3" s="86" t="s">
        <v>873</v>
      </c>
      <c r="L3" s="74" t="s">
        <v>871</v>
      </c>
      <c r="M3" s="74" t="s">
        <v>872</v>
      </c>
      <c r="N3" s="74" t="s">
        <v>874</v>
      </c>
      <c r="O3" s="74" t="s">
        <v>875</v>
      </c>
      <c r="P3" s="74" t="s">
        <v>877</v>
      </c>
      <c r="Q3" s="4"/>
      <c r="R3" s="4"/>
      <c r="S3" s="4"/>
      <c r="T3" s="4"/>
      <c r="U3" s="4"/>
      <c r="V3" s="4"/>
    </row>
    <row r="4" spans="1:22" x14ac:dyDescent="0.25">
      <c r="A4" s="165">
        <v>2015</v>
      </c>
      <c r="B4" s="15" t="str">
        <f>IF(L!$A$1=1,L!B127,IF(L!$A$1=2,L!C127,L!D127))</f>
        <v>2015 Janar</v>
      </c>
      <c r="C4" s="9">
        <f>I4+J4+K4+L4+M4+N4+O4+P4</f>
        <v>71988.88</v>
      </c>
      <c r="D4" s="9" t="e">
        <f>E4+#REF!+#REF!</f>
        <v>#REF!</v>
      </c>
      <c r="E4" s="9" t="e">
        <f>F4+K4+#REF!</f>
        <v>#REF!</v>
      </c>
      <c r="F4" s="9">
        <f t="shared" ref="F4:F15" si="0">SUM(G4:J4)</f>
        <v>59116.804830000001</v>
      </c>
      <c r="G4" s="8">
        <v>12045.170840000001</v>
      </c>
      <c r="H4" s="8">
        <v>13725.633989999998</v>
      </c>
      <c r="I4" s="8">
        <v>33346</v>
      </c>
      <c r="J4" s="8"/>
      <c r="K4" s="8">
        <v>2465</v>
      </c>
      <c r="L4" s="9">
        <v>11083</v>
      </c>
      <c r="M4" s="9">
        <v>5940</v>
      </c>
      <c r="N4" s="9">
        <v>3443.5</v>
      </c>
      <c r="O4" s="9">
        <v>3046</v>
      </c>
      <c r="P4" s="9">
        <v>12665.380000000005</v>
      </c>
    </row>
    <row r="5" spans="1:22" x14ac:dyDescent="0.25">
      <c r="A5" s="166"/>
      <c r="B5" s="10" t="str">
        <f>IF(L!$A$1=1,L!B128,IF(L!$A$1=2,L!C128,L!D128))</f>
        <v>2015 Shkurt</v>
      </c>
      <c r="C5" s="9">
        <f t="shared" ref="C5:C28" si="1">I5+J5+K5+L5+M5+N5+O5+P5</f>
        <v>67638.84</v>
      </c>
      <c r="D5" s="6" t="e">
        <f>E5+#REF!+#REF!</f>
        <v>#REF!</v>
      </c>
      <c r="E5" s="6" t="e">
        <f>F5+K5+#REF!</f>
        <v>#REF!</v>
      </c>
      <c r="F5" s="6">
        <f t="shared" si="0"/>
        <v>38049.812610000001</v>
      </c>
      <c r="G5" s="5">
        <v>395.35389000000004</v>
      </c>
      <c r="H5" s="5">
        <v>7054.5187199999991</v>
      </c>
      <c r="I5" s="5">
        <v>32776.230000000003</v>
      </c>
      <c r="J5" s="5">
        <v>-2176.29</v>
      </c>
      <c r="K5" s="5">
        <v>2926.8</v>
      </c>
      <c r="L5" s="6">
        <v>8316</v>
      </c>
      <c r="M5" s="6">
        <v>5530</v>
      </c>
      <c r="N5" s="6">
        <v>4084</v>
      </c>
      <c r="O5" s="6">
        <v>3825</v>
      </c>
      <c r="P5" s="9">
        <v>12357.099999999991</v>
      </c>
    </row>
    <row r="6" spans="1:22" x14ac:dyDescent="0.25">
      <c r="A6" s="166"/>
      <c r="B6" s="10" t="str">
        <f>IF(L!$A$1=1,L!B129,IF(L!$A$1=2,L!C129,L!D129))</f>
        <v xml:space="preserve">2015 Mars </v>
      </c>
      <c r="C6" s="9">
        <f t="shared" si="1"/>
        <v>158051.60999999999</v>
      </c>
      <c r="D6" s="6" t="e">
        <f>E6+#REF!+#REF!</f>
        <v>#REF!</v>
      </c>
      <c r="E6" s="6" t="e">
        <f>F6+K6+#REF!</f>
        <v>#REF!</v>
      </c>
      <c r="F6" s="6">
        <f t="shared" si="0"/>
        <v>105407.27663000001</v>
      </c>
      <c r="G6" s="5">
        <v>2269.7889</v>
      </c>
      <c r="H6" s="5">
        <v>7764.9877300000007</v>
      </c>
      <c r="I6" s="5">
        <v>30003.84</v>
      </c>
      <c r="J6" s="5">
        <v>65368.66</v>
      </c>
      <c r="K6" s="5">
        <v>3382.1</v>
      </c>
      <c r="L6" s="6">
        <v>5490</v>
      </c>
      <c r="M6" s="6">
        <v>7880</v>
      </c>
      <c r="N6" s="6">
        <v>4126</v>
      </c>
      <c r="O6" s="6">
        <v>9562</v>
      </c>
      <c r="P6" s="9">
        <v>32239.009999999987</v>
      </c>
    </row>
    <row r="7" spans="1:22" x14ac:dyDescent="0.25">
      <c r="A7" s="166"/>
      <c r="B7" s="10" t="str">
        <f>IF(L!$A$1=1,L!B130,IF(L!$A$1=2,L!C130,L!D130))</f>
        <v>2015 Prill</v>
      </c>
      <c r="C7" s="9">
        <f t="shared" si="1"/>
        <v>141272.54</v>
      </c>
      <c r="D7" s="6" t="e">
        <f>E7+#REF!+#REF!</f>
        <v>#REF!</v>
      </c>
      <c r="E7" s="6" t="e">
        <f>F7+K7+#REF!</f>
        <v>#REF!</v>
      </c>
      <c r="F7" s="6">
        <f t="shared" si="0"/>
        <v>115500.57582</v>
      </c>
      <c r="G7" s="5">
        <v>17942.412539999998</v>
      </c>
      <c r="H7" s="5">
        <v>10240.023279999999</v>
      </c>
      <c r="I7" s="5">
        <v>25552.959999999999</v>
      </c>
      <c r="J7" s="5">
        <v>61765.18</v>
      </c>
      <c r="K7" s="5">
        <v>8749</v>
      </c>
      <c r="L7" s="6">
        <v>4556</v>
      </c>
      <c r="M7" s="6">
        <v>10500</v>
      </c>
      <c r="N7" s="6">
        <v>3355.5</v>
      </c>
      <c r="O7" s="6">
        <v>4833</v>
      </c>
      <c r="P7" s="9">
        <v>21960.900000000016</v>
      </c>
    </row>
    <row r="8" spans="1:22" x14ac:dyDescent="0.25">
      <c r="A8" s="166"/>
      <c r="B8" s="10" t="str">
        <f>IF(L!$A$1=1,L!B131,IF(L!$A$1=2,L!C131,L!D131))</f>
        <v>2015 Maj</v>
      </c>
      <c r="C8" s="9">
        <f t="shared" si="1"/>
        <v>75884.600000000006</v>
      </c>
      <c r="D8" s="6" t="e">
        <f>E8+#REF!+#REF!</f>
        <v>#REF!</v>
      </c>
      <c r="E8" s="6" t="e">
        <f>F8+K8+#REF!</f>
        <v>#REF!</v>
      </c>
      <c r="F8" s="6">
        <f t="shared" si="0"/>
        <v>45644.910360000002</v>
      </c>
      <c r="G8" s="5">
        <v>1560.4819300000001</v>
      </c>
      <c r="H8" s="5">
        <v>6944.7284299999992</v>
      </c>
      <c r="I8" s="5">
        <v>22481.8</v>
      </c>
      <c r="J8" s="5">
        <v>14657.9</v>
      </c>
      <c r="K8" s="5">
        <v>2450</v>
      </c>
      <c r="L8" s="6">
        <v>4997</v>
      </c>
      <c r="M8" s="6">
        <v>9690</v>
      </c>
      <c r="N8" s="6">
        <v>3177</v>
      </c>
      <c r="O8" s="6">
        <v>4471</v>
      </c>
      <c r="P8" s="9">
        <v>13959.900000000001</v>
      </c>
    </row>
    <row r="9" spans="1:22" x14ac:dyDescent="0.25">
      <c r="A9" s="166"/>
      <c r="B9" s="10" t="str">
        <f>IF(L!$A$1=1,L!B132,IF(L!$A$1=2,L!C132,L!D132))</f>
        <v>2015 Qershor</v>
      </c>
      <c r="C9" s="9">
        <f t="shared" si="1"/>
        <v>137692.60999999999</v>
      </c>
      <c r="D9" s="6" t="e">
        <f>E9+#REF!+#REF!</f>
        <v>#REF!</v>
      </c>
      <c r="E9" s="6" t="e">
        <f>F9+K9+#REF!</f>
        <v>#REF!</v>
      </c>
      <c r="F9" s="6">
        <f t="shared" si="0"/>
        <v>88974.05131000001</v>
      </c>
      <c r="G9" s="5">
        <v>1588.4995800000002</v>
      </c>
      <c r="H9" s="5">
        <v>9047.4917300000016</v>
      </c>
      <c r="I9" s="5">
        <v>61839.27</v>
      </c>
      <c r="J9" s="5">
        <v>16498.79</v>
      </c>
      <c r="K9" s="5">
        <v>12866.65</v>
      </c>
      <c r="L9" s="6">
        <v>4927</v>
      </c>
      <c r="M9" s="6">
        <v>9570</v>
      </c>
      <c r="N9" s="6">
        <v>2752</v>
      </c>
      <c r="O9" s="6">
        <v>4002.8</v>
      </c>
      <c r="P9" s="9">
        <v>25236.099999999995</v>
      </c>
    </row>
    <row r="10" spans="1:22" x14ac:dyDescent="0.25">
      <c r="A10" s="166"/>
      <c r="B10" s="10" t="str">
        <f>IF(L!$A$1=1,L!B133,IF(L!$A$1=2,L!C133,L!D133))</f>
        <v>2015 Korrik</v>
      </c>
      <c r="C10" s="9">
        <f t="shared" si="1"/>
        <v>137195.68</v>
      </c>
      <c r="D10" s="6" t="e">
        <f>E10+#REF!+#REF!</f>
        <v>#REF!</v>
      </c>
      <c r="E10" s="6" t="e">
        <f>F10+K10+#REF!</f>
        <v>#REF!</v>
      </c>
      <c r="F10" s="6">
        <f t="shared" si="0"/>
        <v>111075.92819000001</v>
      </c>
      <c r="G10" s="5">
        <v>12431.395200000001</v>
      </c>
      <c r="H10" s="5">
        <v>12866.832989999999</v>
      </c>
      <c r="I10" s="5">
        <v>43195.64</v>
      </c>
      <c r="J10" s="5">
        <v>42582.06</v>
      </c>
      <c r="K10" s="5">
        <v>4599.9799999999996</v>
      </c>
      <c r="L10" s="6">
        <v>6221</v>
      </c>
      <c r="M10" s="6">
        <v>9150</v>
      </c>
      <c r="N10" s="6">
        <v>3688</v>
      </c>
      <c r="O10" s="6">
        <v>2925.2</v>
      </c>
      <c r="P10" s="9">
        <v>24833.8</v>
      </c>
    </row>
    <row r="11" spans="1:22" x14ac:dyDescent="0.25">
      <c r="A11" s="166"/>
      <c r="B11" s="10" t="str">
        <f>IF(L!$A$1=1,L!B134,IF(L!$A$1=2,L!C134,L!D134))</f>
        <v>2015 Gusht</v>
      </c>
      <c r="C11" s="9">
        <f t="shared" si="1"/>
        <v>142437.10999999999</v>
      </c>
      <c r="D11" s="6" t="e">
        <f>E11+#REF!+#REF!</f>
        <v>#REF!</v>
      </c>
      <c r="E11" s="6" t="e">
        <f>F11+K11+#REF!</f>
        <v>#REF!</v>
      </c>
      <c r="F11" s="6">
        <f t="shared" si="0"/>
        <v>100704.0456</v>
      </c>
      <c r="G11" s="5">
        <v>1136.06114</v>
      </c>
      <c r="H11" s="5">
        <v>6772.7244599999995</v>
      </c>
      <c r="I11" s="5">
        <v>38613.620000000003</v>
      </c>
      <c r="J11" s="5">
        <v>54181.64</v>
      </c>
      <c r="K11" s="5">
        <v>3815</v>
      </c>
      <c r="L11" s="6">
        <v>7033</v>
      </c>
      <c r="M11" s="6">
        <v>8970</v>
      </c>
      <c r="N11" s="6">
        <v>4640</v>
      </c>
      <c r="O11" s="6">
        <v>4074.7</v>
      </c>
      <c r="P11" s="9">
        <v>21109.149999999991</v>
      </c>
    </row>
    <row r="12" spans="1:22" x14ac:dyDescent="0.25">
      <c r="A12" s="166"/>
      <c r="B12" s="10" t="str">
        <f>IF(L!$A$1=1,L!B135,IF(L!$A$1=2,L!C135,L!D135))</f>
        <v>2015 Shtator</v>
      </c>
      <c r="C12" s="9">
        <f t="shared" si="1"/>
        <v>62950.210000000006</v>
      </c>
      <c r="D12" s="6" t="e">
        <f>E12+#REF!+#REF!</f>
        <v>#REF!</v>
      </c>
      <c r="E12" s="6" t="e">
        <f>F12+K12+#REF!</f>
        <v>#REF!</v>
      </c>
      <c r="F12" s="6">
        <f t="shared" si="0"/>
        <v>28873.85601</v>
      </c>
      <c r="G12" s="5">
        <v>1338.4192599999999</v>
      </c>
      <c r="H12" s="5">
        <v>6850.4267499999996</v>
      </c>
      <c r="I12" s="5">
        <v>15781.6</v>
      </c>
      <c r="J12" s="5">
        <v>4903.41</v>
      </c>
      <c r="K12" s="5">
        <v>4381.2</v>
      </c>
      <c r="L12" s="6">
        <v>5487</v>
      </c>
      <c r="M12" s="6">
        <v>7750</v>
      </c>
      <c r="N12" s="6">
        <v>3577.5</v>
      </c>
      <c r="O12" s="6">
        <v>4875</v>
      </c>
      <c r="P12" s="9">
        <v>16194.5</v>
      </c>
    </row>
    <row r="13" spans="1:22" x14ac:dyDescent="0.25">
      <c r="A13" s="166"/>
      <c r="B13" s="10" t="str">
        <f>IF(L!$A$1=1,L!B136,IF(L!$A$1=2,L!C136,L!D136))</f>
        <v>2015 Tetor</v>
      </c>
      <c r="C13" s="9">
        <f t="shared" si="1"/>
        <v>107484.36000000002</v>
      </c>
      <c r="D13" s="6" t="e">
        <f>E13+#REF!+#REF!</f>
        <v>#REF!</v>
      </c>
      <c r="E13" s="6" t="e">
        <f>F13+K13+#REF!</f>
        <v>#REF!</v>
      </c>
      <c r="F13" s="6">
        <f t="shared" si="0"/>
        <v>78585.214720000004</v>
      </c>
      <c r="G13" s="5">
        <v>13042.1813</v>
      </c>
      <c r="H13" s="5">
        <v>13487.29342</v>
      </c>
      <c r="I13" s="5">
        <v>20461.05</v>
      </c>
      <c r="J13" s="5">
        <v>31594.69</v>
      </c>
      <c r="K13" s="5">
        <v>7230.59</v>
      </c>
      <c r="L13" s="6">
        <v>4946</v>
      </c>
      <c r="M13" s="6">
        <v>8060.63</v>
      </c>
      <c r="N13" s="6">
        <v>6417.5</v>
      </c>
      <c r="O13" s="6">
        <v>7817.5</v>
      </c>
      <c r="P13" s="9">
        <v>20956.400000000001</v>
      </c>
    </row>
    <row r="14" spans="1:22" x14ac:dyDescent="0.25">
      <c r="A14" s="166"/>
      <c r="B14" s="10" t="str">
        <f>IF(L!$A$1=1,L!B137,IF(L!$A$1=2,L!C137,L!D137))</f>
        <v xml:space="preserve">2015 Nëntor </v>
      </c>
      <c r="C14" s="9">
        <f t="shared" si="1"/>
        <v>190917.87</v>
      </c>
      <c r="D14" s="6" t="e">
        <f>E14+#REF!+#REF!</f>
        <v>#REF!</v>
      </c>
      <c r="E14" s="6" t="e">
        <f>F14+K14+#REF!</f>
        <v>#REF!</v>
      </c>
      <c r="F14" s="6">
        <f t="shared" si="0"/>
        <v>45348.883839999995</v>
      </c>
      <c r="G14" s="5">
        <v>1287.1883599999999</v>
      </c>
      <c r="H14" s="5">
        <v>6804.0254799999993</v>
      </c>
      <c r="I14" s="5">
        <v>19245.009999999998</v>
      </c>
      <c r="J14" s="5">
        <v>18012.66</v>
      </c>
      <c r="K14" s="5">
        <v>3617</v>
      </c>
      <c r="L14" s="6">
        <v>3922</v>
      </c>
      <c r="M14" s="6">
        <v>7380</v>
      </c>
      <c r="N14" s="6">
        <v>4170</v>
      </c>
      <c r="O14" s="6">
        <v>5817</v>
      </c>
      <c r="P14" s="9">
        <v>128754.19999999998</v>
      </c>
    </row>
    <row r="15" spans="1:22" x14ac:dyDescent="0.25">
      <c r="A15" s="166"/>
      <c r="B15" s="10" t="str">
        <f>IF(L!$A$1=1,L!B138,IF(L!$A$1=2,L!C138,L!D138))</f>
        <v>2015 Dhjetor</v>
      </c>
      <c r="C15" s="9">
        <f t="shared" si="1"/>
        <v>138313.17000000001</v>
      </c>
      <c r="D15" s="6" t="e">
        <f>E15+#REF!+#REF!</f>
        <v>#REF!</v>
      </c>
      <c r="E15" s="6" t="e">
        <f>F15+K15+#REF!</f>
        <v>#REF!</v>
      </c>
      <c r="F15" s="6">
        <f t="shared" si="0"/>
        <v>97673.782919999998</v>
      </c>
      <c r="G15" s="5">
        <v>2622.6515799999997</v>
      </c>
      <c r="H15" s="5">
        <v>7118.1613399999997</v>
      </c>
      <c r="I15" s="5">
        <v>83911.46</v>
      </c>
      <c r="J15" s="5">
        <v>4021.51</v>
      </c>
      <c r="K15" s="5">
        <v>1957.1</v>
      </c>
      <c r="L15" s="6">
        <v>4772</v>
      </c>
      <c r="M15" s="6">
        <v>8040</v>
      </c>
      <c r="N15" s="6">
        <v>5351</v>
      </c>
      <c r="O15" s="6">
        <v>4295</v>
      </c>
      <c r="P15" s="9">
        <v>25965.100000000006</v>
      </c>
    </row>
    <row r="16" spans="1:22" x14ac:dyDescent="0.25">
      <c r="A16" s="167"/>
      <c r="B16" s="11" t="str">
        <f>IF(L!$A$1=1,L!B139,IF(L!$A$1=2,L!C139,L!D139))</f>
        <v>Gjithsej 2015</v>
      </c>
      <c r="C16" s="12">
        <f>SUM(C4:C15)</f>
        <v>1431827.48</v>
      </c>
      <c r="D16" s="12" t="e">
        <f>E16+#REF!+#REF!</f>
        <v>#REF!</v>
      </c>
      <c r="E16" s="12" t="e">
        <f>F16+K16+#REF!</f>
        <v>#REF!</v>
      </c>
      <c r="F16" s="12">
        <f>SUM(G16:J16)</f>
        <v>914955.14283999999</v>
      </c>
      <c r="G16" s="7">
        <f t="shared" ref="G16:P16" si="2">SUM(G4:G15)</f>
        <v>67659.604520000008</v>
      </c>
      <c r="H16" s="7">
        <f t="shared" si="2"/>
        <v>108676.84832</v>
      </c>
      <c r="I16" s="7">
        <f t="shared" si="2"/>
        <v>427208.48</v>
      </c>
      <c r="J16" s="7">
        <f t="shared" si="2"/>
        <v>311410.20999999996</v>
      </c>
      <c r="K16" s="7">
        <f t="shared" si="2"/>
        <v>58440.419999999991</v>
      </c>
      <c r="L16" s="7">
        <f t="shared" si="2"/>
        <v>71750</v>
      </c>
      <c r="M16" s="7">
        <f t="shared" si="2"/>
        <v>98460.63</v>
      </c>
      <c r="N16" s="7">
        <f t="shared" si="2"/>
        <v>48782</v>
      </c>
      <c r="O16" s="7">
        <f t="shared" si="2"/>
        <v>59544.2</v>
      </c>
      <c r="P16" s="7">
        <f t="shared" si="2"/>
        <v>356231.53999999992</v>
      </c>
    </row>
    <row r="17" spans="1:16" x14ac:dyDescent="0.25">
      <c r="A17" s="160">
        <v>2016</v>
      </c>
      <c r="B17" s="10" t="str">
        <f>IF(L!$A$1=1,L!B140,IF(L!$A$1=2,L!C140,L!D140))</f>
        <v>2016 Janar</v>
      </c>
      <c r="C17" s="6">
        <f t="shared" si="1"/>
        <v>73661.649999999994</v>
      </c>
      <c r="D17" s="6"/>
      <c r="E17" s="6"/>
      <c r="F17" s="6"/>
      <c r="G17" s="5"/>
      <c r="H17" s="5"/>
      <c r="I17" s="5">
        <v>23159.11</v>
      </c>
      <c r="J17" s="5">
        <v>19594.98</v>
      </c>
      <c r="K17" s="5">
        <v>3954.01</v>
      </c>
      <c r="L17" s="6">
        <v>4255</v>
      </c>
      <c r="M17" s="6">
        <v>5930</v>
      </c>
      <c r="N17" s="6">
        <v>2565</v>
      </c>
      <c r="O17" s="6">
        <v>3622</v>
      </c>
      <c r="P17" s="6">
        <v>10581.549999999996</v>
      </c>
    </row>
    <row r="18" spans="1:16" x14ac:dyDescent="0.25">
      <c r="A18" s="161"/>
      <c r="B18" s="10" t="str">
        <f>IF(L!$A$1=1,L!B141,IF(L!$A$1=2,L!C141,L!D141))</f>
        <v>2016 Shkurt</v>
      </c>
      <c r="C18" s="6">
        <f t="shared" si="1"/>
        <v>62156.6</v>
      </c>
      <c r="D18" s="6"/>
      <c r="E18" s="6"/>
      <c r="F18" s="6"/>
      <c r="G18" s="5"/>
      <c r="H18" s="5"/>
      <c r="I18" s="5">
        <v>23261.55</v>
      </c>
      <c r="J18" s="5">
        <v>100</v>
      </c>
      <c r="K18" s="5">
        <v>1168.55</v>
      </c>
      <c r="L18" s="6">
        <v>4849</v>
      </c>
      <c r="M18" s="6">
        <v>6580</v>
      </c>
      <c r="N18" s="6">
        <v>4231.5</v>
      </c>
      <c r="O18" s="6">
        <v>5209</v>
      </c>
      <c r="P18" s="6">
        <v>16757</v>
      </c>
    </row>
    <row r="19" spans="1:16" x14ac:dyDescent="0.25">
      <c r="A19" s="161"/>
      <c r="B19" s="10" t="str">
        <f>IF(L!$A$1=1,L!B142,IF(L!$A$1=2,L!C142,L!D142))</f>
        <v xml:space="preserve">2016 Mars </v>
      </c>
      <c r="C19" s="6">
        <f t="shared" si="1"/>
        <v>121887.00999999998</v>
      </c>
      <c r="D19" s="6"/>
      <c r="E19" s="6"/>
      <c r="F19" s="6"/>
      <c r="G19" s="5"/>
      <c r="H19" s="5"/>
      <c r="I19" s="5">
        <v>34456.639999999999</v>
      </c>
      <c r="J19" s="5">
        <v>14294.1</v>
      </c>
      <c r="K19" s="5">
        <v>3506.88</v>
      </c>
      <c r="L19" s="6">
        <v>5760</v>
      </c>
      <c r="M19" s="6">
        <v>7900</v>
      </c>
      <c r="N19" s="6">
        <v>5447</v>
      </c>
      <c r="O19" s="6">
        <v>11137.89</v>
      </c>
      <c r="P19" s="6">
        <v>39384.499999999985</v>
      </c>
    </row>
    <row r="20" spans="1:16" x14ac:dyDescent="0.25">
      <c r="A20" s="161"/>
      <c r="B20" s="10" t="str">
        <f>IF(L!$A$1=1,L!B143,IF(L!$A$1=2,L!C143,L!D143))</f>
        <v>2016 Prill</v>
      </c>
      <c r="C20" s="6">
        <f t="shared" si="1"/>
        <v>103392.86</v>
      </c>
      <c r="D20" s="6"/>
      <c r="E20" s="6"/>
      <c r="F20" s="6"/>
      <c r="G20" s="5"/>
      <c r="H20" s="5"/>
      <c r="I20" s="5">
        <v>45354.34</v>
      </c>
      <c r="J20" s="5">
        <v>6644.62</v>
      </c>
      <c r="K20" s="5">
        <v>3297.4</v>
      </c>
      <c r="L20" s="6">
        <v>5492</v>
      </c>
      <c r="M20" s="6">
        <v>9061</v>
      </c>
      <c r="N20" s="6">
        <v>3383.5</v>
      </c>
      <c r="O20" s="6">
        <v>5572.5</v>
      </c>
      <c r="P20" s="6">
        <v>24587.5</v>
      </c>
    </row>
    <row r="21" spans="1:16" x14ac:dyDescent="0.25">
      <c r="A21" s="161"/>
      <c r="B21" s="10" t="str">
        <f>IF(L!$A$1=1,L!B144,IF(L!$A$1=2,L!C144,L!D144))</f>
        <v>2016 Maj</v>
      </c>
      <c r="C21" s="6">
        <f t="shared" si="1"/>
        <v>104409.76</v>
      </c>
      <c r="D21" s="6"/>
      <c r="E21" s="6"/>
      <c r="F21" s="6"/>
      <c r="G21" s="5"/>
      <c r="H21" s="5"/>
      <c r="I21" s="5">
        <v>40352.99</v>
      </c>
      <c r="J21" s="5">
        <v>19993.95</v>
      </c>
      <c r="K21" s="5">
        <v>2574</v>
      </c>
      <c r="L21" s="6">
        <v>5637</v>
      </c>
      <c r="M21" s="6">
        <v>10460</v>
      </c>
      <c r="N21" s="6">
        <v>3216</v>
      </c>
      <c r="O21" s="6">
        <v>5280</v>
      </c>
      <c r="P21" s="6">
        <v>16895.819999999992</v>
      </c>
    </row>
    <row r="22" spans="1:16" x14ac:dyDescent="0.25">
      <c r="A22" s="161"/>
      <c r="B22" s="10" t="str">
        <f>IF(L!$A$1=1,L!B145,IF(L!$A$1=2,L!C145,L!D145))</f>
        <v>2016 Qershor</v>
      </c>
      <c r="C22" s="6">
        <f t="shared" si="1"/>
        <v>152395.56</v>
      </c>
      <c r="D22" s="6"/>
      <c r="E22" s="6"/>
      <c r="F22" s="6"/>
      <c r="G22" s="5"/>
      <c r="H22" s="5"/>
      <c r="I22" s="5">
        <v>68803.210000000006</v>
      </c>
      <c r="J22" s="5">
        <v>26345</v>
      </c>
      <c r="K22" s="5">
        <v>5928.49</v>
      </c>
      <c r="L22" s="6">
        <v>5130</v>
      </c>
      <c r="M22" s="6">
        <v>9640.5</v>
      </c>
      <c r="N22" s="6">
        <v>3611</v>
      </c>
      <c r="O22" s="6">
        <v>3972.61</v>
      </c>
      <c r="P22" s="6">
        <v>28964.749999999993</v>
      </c>
    </row>
    <row r="23" spans="1:16" x14ac:dyDescent="0.25">
      <c r="A23" s="161"/>
      <c r="B23" s="10" t="str">
        <f>IF(L!$A$1=1,L!B146,IF(L!$A$1=2,L!C146,L!D146))</f>
        <v>2016 Korrik</v>
      </c>
      <c r="C23" s="6">
        <f t="shared" si="1"/>
        <v>124247.97</v>
      </c>
      <c r="D23" s="6"/>
      <c r="E23" s="6"/>
      <c r="F23" s="6"/>
      <c r="G23" s="5"/>
      <c r="H23" s="5"/>
      <c r="I23" s="5">
        <v>56785.29</v>
      </c>
      <c r="J23" s="5">
        <v>19064.72</v>
      </c>
      <c r="K23" s="5">
        <v>7806.31</v>
      </c>
      <c r="L23" s="6">
        <v>7207</v>
      </c>
      <c r="M23" s="6">
        <v>9533</v>
      </c>
      <c r="N23" s="6">
        <v>3371.5</v>
      </c>
      <c r="O23" s="6">
        <v>2118.15</v>
      </c>
      <c r="P23" s="6">
        <v>18361.999999999993</v>
      </c>
    </row>
    <row r="24" spans="1:16" x14ac:dyDescent="0.25">
      <c r="A24" s="161"/>
      <c r="B24" s="10" t="str">
        <f>IF(L!$A$1=1,L!B147,IF(L!$A$1=2,L!C147,L!D147))</f>
        <v>2016 Gusht</v>
      </c>
      <c r="C24" s="6">
        <f t="shared" si="1"/>
        <v>168480.77999999997</v>
      </c>
      <c r="D24" s="6"/>
      <c r="E24" s="6"/>
      <c r="F24" s="6"/>
      <c r="G24" s="5"/>
      <c r="H24" s="5"/>
      <c r="I24" s="5">
        <v>85187.04</v>
      </c>
      <c r="J24" s="5">
        <v>27742.400000000001</v>
      </c>
      <c r="K24" s="5">
        <v>4354.3</v>
      </c>
      <c r="L24" s="6">
        <v>8109</v>
      </c>
      <c r="M24" s="6">
        <v>10240</v>
      </c>
      <c r="N24" s="6">
        <v>5730</v>
      </c>
      <c r="O24" s="6">
        <v>2804.05</v>
      </c>
      <c r="P24" s="6">
        <v>24313.99</v>
      </c>
    </row>
    <row r="25" spans="1:16" x14ac:dyDescent="0.25">
      <c r="A25" s="161"/>
      <c r="B25" s="10" t="str">
        <f>IF(L!$A$1=1,L!B148,IF(L!$A$1=2,L!C148,L!D148))</f>
        <v>2016 Shtator</v>
      </c>
      <c r="C25" s="6">
        <f t="shared" si="1"/>
        <v>126272.32999999999</v>
      </c>
      <c r="D25" s="6"/>
      <c r="E25" s="6"/>
      <c r="F25" s="6"/>
      <c r="G25" s="5"/>
      <c r="H25" s="5"/>
      <c r="I25" s="5">
        <v>43959.15</v>
      </c>
      <c r="J25" s="5">
        <v>22601.9</v>
      </c>
      <c r="K25" s="5">
        <v>678.38</v>
      </c>
      <c r="L25" s="6">
        <v>5673</v>
      </c>
      <c r="M25" s="6">
        <v>9260</v>
      </c>
      <c r="N25" s="6">
        <v>3720.5</v>
      </c>
      <c r="O25" s="6">
        <v>7042.4</v>
      </c>
      <c r="P25" s="6">
        <v>33336.999999999993</v>
      </c>
    </row>
    <row r="26" spans="1:16" x14ac:dyDescent="0.25">
      <c r="A26" s="161"/>
      <c r="B26" s="10" t="str">
        <f>IF(L!$A$1=1,L!B149,IF(L!$A$1=2,L!C149,L!D149))</f>
        <v>2016 Tetor</v>
      </c>
      <c r="C26" s="6">
        <f t="shared" si="1"/>
        <v>176224.66999999998</v>
      </c>
      <c r="D26" s="6"/>
      <c r="E26" s="6"/>
      <c r="F26" s="6"/>
      <c r="G26" s="5"/>
      <c r="H26" s="5"/>
      <c r="I26" s="5">
        <v>15601.75</v>
      </c>
      <c r="J26" s="5">
        <v>7617.54</v>
      </c>
      <c r="K26" s="5">
        <v>1760.88</v>
      </c>
      <c r="L26" s="6">
        <v>5006</v>
      </c>
      <c r="M26" s="6">
        <v>8610</v>
      </c>
      <c r="N26" s="13">
        <v>4584</v>
      </c>
      <c r="O26" s="6">
        <v>10712</v>
      </c>
      <c r="P26" s="6">
        <v>122332.5</v>
      </c>
    </row>
    <row r="27" spans="1:16" x14ac:dyDescent="0.25">
      <c r="A27" s="161"/>
      <c r="B27" s="10" t="str">
        <f>IF(L!$A$1=1,L!B150,IF(L!$A$1=2,L!C150,L!D150))</f>
        <v xml:space="preserve">2016 Nëntor </v>
      </c>
      <c r="C27" s="6">
        <f t="shared" si="1"/>
        <v>70211.510000000009</v>
      </c>
      <c r="D27" s="6"/>
      <c r="E27" s="6"/>
      <c r="F27" s="6"/>
      <c r="G27" s="5"/>
      <c r="H27" s="5"/>
      <c r="I27" s="5">
        <v>18828.150000000001</v>
      </c>
      <c r="J27" s="5">
        <v>2015.84</v>
      </c>
      <c r="K27" s="5">
        <v>2541.2199999999998</v>
      </c>
      <c r="L27" s="6">
        <v>4507</v>
      </c>
      <c r="M27" s="6">
        <v>8130</v>
      </c>
      <c r="N27" s="6">
        <v>5252</v>
      </c>
      <c r="O27" s="6">
        <v>6408.8</v>
      </c>
      <c r="P27" s="6">
        <v>22528.499999999996</v>
      </c>
    </row>
    <row r="28" spans="1:16" x14ac:dyDescent="0.25">
      <c r="A28" s="161"/>
      <c r="B28" s="10" t="str">
        <f>IF(L!$A$1=1,L!B151,IF(L!$A$1=2,L!C151,L!D151))</f>
        <v>2016 Dhjetor</v>
      </c>
      <c r="C28" s="6">
        <f t="shared" si="1"/>
        <v>143639.84000000003</v>
      </c>
      <c r="D28" s="6"/>
      <c r="E28" s="6"/>
      <c r="F28" s="6"/>
      <c r="G28" s="80"/>
      <c r="H28" s="80"/>
      <c r="I28" s="80">
        <v>68817.740000000005</v>
      </c>
      <c r="J28" s="80">
        <v>25007.200000000001</v>
      </c>
      <c r="K28" s="5">
        <v>819.38</v>
      </c>
      <c r="L28" s="13">
        <v>5556.82</v>
      </c>
      <c r="M28" s="6">
        <v>7520</v>
      </c>
      <c r="N28" s="13">
        <v>5635.5</v>
      </c>
      <c r="O28" s="13">
        <v>4295</v>
      </c>
      <c r="P28" s="6">
        <v>25988.199999999997</v>
      </c>
    </row>
    <row r="29" spans="1:16" x14ac:dyDescent="0.25">
      <c r="A29" s="162"/>
      <c r="B29" s="11" t="str">
        <f>IF(L!$A$1=1,L!B152,IF(L!$A$1=2,L!C152,L!D152))</f>
        <v>Gjithsej 2016</v>
      </c>
      <c r="C29" s="12">
        <f>SUM(C17:C28)</f>
        <v>1426980.54</v>
      </c>
      <c r="D29" s="12" t="e">
        <f>E29+#REF!+#REF!</f>
        <v>#REF!</v>
      </c>
      <c r="E29" s="12" t="e">
        <f>F29+K29+#REF!</f>
        <v>#REF!</v>
      </c>
      <c r="F29" s="12">
        <f>SUM(G29:J29)</f>
        <v>715589.21000000008</v>
      </c>
      <c r="G29" s="7">
        <f t="shared" ref="G29:P29" si="3">SUM(G17:G28)</f>
        <v>0</v>
      </c>
      <c r="H29" s="7">
        <f t="shared" si="3"/>
        <v>0</v>
      </c>
      <c r="I29" s="7">
        <f t="shared" si="3"/>
        <v>524566.96000000008</v>
      </c>
      <c r="J29" s="7">
        <f t="shared" si="3"/>
        <v>191022.25000000003</v>
      </c>
      <c r="K29" s="7">
        <f t="shared" si="3"/>
        <v>38389.799999999996</v>
      </c>
      <c r="L29" s="7">
        <f t="shared" si="3"/>
        <v>67181.820000000007</v>
      </c>
      <c r="M29" s="7">
        <f t="shared" si="3"/>
        <v>102864.5</v>
      </c>
      <c r="N29" s="7">
        <f t="shared" si="3"/>
        <v>50747.5</v>
      </c>
      <c r="O29" s="7">
        <f t="shared" si="3"/>
        <v>68174.400000000009</v>
      </c>
      <c r="P29" s="7">
        <f t="shared" si="3"/>
        <v>384033.31</v>
      </c>
    </row>
    <row r="30" spans="1:16" s="3" customFormat="1" x14ac:dyDescent="0.25">
      <c r="A30" s="160">
        <v>2017</v>
      </c>
      <c r="B30" s="10" t="str">
        <f>IF(L!$A$1=1,L!B153,IF(L!$A$1=2,L!C153,L!D153))</f>
        <v>2017 Janar</v>
      </c>
      <c r="C30" s="6">
        <f>I30+J30+K30+L30+M30+N30+O30+P30</f>
        <v>88076.95</v>
      </c>
      <c r="D30" s="6" t="e">
        <f>E30+#REF!+#REF!</f>
        <v>#REF!</v>
      </c>
      <c r="E30" s="6" t="e">
        <f>F30+K30+#REF!</f>
        <v>#REF!</v>
      </c>
      <c r="F30" s="6">
        <f>SUM(G30:J30)</f>
        <v>79655.986959999995</v>
      </c>
      <c r="G30" s="6">
        <v>14207.96803</v>
      </c>
      <c r="H30" s="6">
        <v>14908.58893</v>
      </c>
      <c r="I30" s="6">
        <v>27043.81</v>
      </c>
      <c r="J30" s="6">
        <v>23495.62</v>
      </c>
      <c r="K30" s="5">
        <v>1018</v>
      </c>
      <c r="L30" s="6">
        <v>5447</v>
      </c>
      <c r="M30" s="6">
        <v>6110</v>
      </c>
      <c r="N30" s="6">
        <v>2682</v>
      </c>
      <c r="O30" s="6">
        <v>3552</v>
      </c>
      <c r="P30" s="6">
        <v>18728.52</v>
      </c>
    </row>
    <row r="31" spans="1:16" s="3" customFormat="1" x14ac:dyDescent="0.25">
      <c r="A31" s="161"/>
      <c r="B31" s="10" t="str">
        <f>IF(L!$A$1=1,L!B154,IF(L!$A$1=2,L!C154,L!D154))</f>
        <v>2017 Shkurt</v>
      </c>
      <c r="C31" s="6">
        <f t="shared" ref="C31:C41" si="4">I31+J31+K31+L31+M31+N31+O31+P31</f>
        <v>90884</v>
      </c>
      <c r="D31" s="6" t="e">
        <f>E31+#REF!+#REF!</f>
        <v>#REF!</v>
      </c>
      <c r="E31" s="6" t="e">
        <f>F31+K31+#REF!</f>
        <v>#REF!</v>
      </c>
      <c r="F31" s="6">
        <f t="shared" ref="F31:F34" si="5">SUM(G31:J31)</f>
        <v>47598.752690000001</v>
      </c>
      <c r="G31" s="6">
        <v>326.72095999999999</v>
      </c>
      <c r="H31" s="6">
        <v>8580.42173</v>
      </c>
      <c r="I31" s="6">
        <v>34926.71</v>
      </c>
      <c r="J31" s="6">
        <v>3764.9</v>
      </c>
      <c r="K31" s="5">
        <v>1436.89</v>
      </c>
      <c r="L31" s="6">
        <v>4929</v>
      </c>
      <c r="M31" s="6">
        <v>6900</v>
      </c>
      <c r="N31" s="6">
        <v>4315.5</v>
      </c>
      <c r="O31" s="6">
        <v>5338</v>
      </c>
      <c r="P31" s="6">
        <v>29273</v>
      </c>
    </row>
    <row r="32" spans="1:16" s="3" customFormat="1" x14ac:dyDescent="0.25">
      <c r="A32" s="161"/>
      <c r="B32" s="10" t="str">
        <f>IF(L!$A$1=1,L!B155,IF(L!$A$1=2,L!C155,L!D155))</f>
        <v xml:space="preserve">2017 Mars </v>
      </c>
      <c r="C32" s="6">
        <f t="shared" si="4"/>
        <v>143312.57999999996</v>
      </c>
      <c r="D32" s="6" t="e">
        <f>E32+#REF!+#REF!</f>
        <v>#REF!</v>
      </c>
      <c r="E32" s="6" t="e">
        <f>F32+K32+#REF!</f>
        <v>#REF!</v>
      </c>
      <c r="F32" s="6">
        <f t="shared" si="5"/>
        <v>87352.599050000004</v>
      </c>
      <c r="G32" s="6">
        <v>4315.2796500000004</v>
      </c>
      <c r="H32" s="6">
        <v>9753.1394</v>
      </c>
      <c r="I32" s="13">
        <v>52960.57</v>
      </c>
      <c r="J32" s="6">
        <v>20323.61</v>
      </c>
      <c r="K32" s="5">
        <v>2232.88</v>
      </c>
      <c r="L32" s="6">
        <v>7079</v>
      </c>
      <c r="M32" s="6">
        <v>8680</v>
      </c>
      <c r="N32" s="6">
        <v>5763</v>
      </c>
      <c r="O32" s="6">
        <v>13779</v>
      </c>
      <c r="P32" s="6">
        <v>32494.519999999975</v>
      </c>
    </row>
    <row r="33" spans="1:16" s="3" customFormat="1" x14ac:dyDescent="0.25">
      <c r="A33" s="161"/>
      <c r="B33" s="10" t="str">
        <f>IF(L!$A$1=1,L!B156,IF(L!$A$1=2,L!C156,L!D156))</f>
        <v>2017 Prill</v>
      </c>
      <c r="C33" s="6">
        <f t="shared" si="4"/>
        <v>229049.95</v>
      </c>
      <c r="D33" s="6" t="e">
        <f>E33+#REF!+#REF!</f>
        <v>#REF!</v>
      </c>
      <c r="E33" s="6" t="e">
        <f>F33+K33+#REF!</f>
        <v>#REF!</v>
      </c>
      <c r="F33" s="6">
        <f t="shared" si="5"/>
        <v>172255.28896999999</v>
      </c>
      <c r="G33" s="6">
        <v>17455.808850000001</v>
      </c>
      <c r="H33" s="6">
        <v>15820.380120000002</v>
      </c>
      <c r="I33" s="6">
        <v>59321.74</v>
      </c>
      <c r="J33" s="6">
        <v>79657.36</v>
      </c>
      <c r="K33" s="5">
        <v>1391.55</v>
      </c>
      <c r="L33" s="6">
        <v>6043</v>
      </c>
      <c r="M33" s="6">
        <v>8420</v>
      </c>
      <c r="N33" s="6">
        <v>3164</v>
      </c>
      <c r="O33" s="6">
        <v>5684</v>
      </c>
      <c r="P33" s="6">
        <v>65368.3</v>
      </c>
    </row>
    <row r="34" spans="1:16" s="3" customFormat="1" x14ac:dyDescent="0.25">
      <c r="A34" s="161"/>
      <c r="B34" s="10" t="str">
        <f>IF(L!$A$1=1,L!B157,IF(L!$A$1=2,L!C157,L!D157))</f>
        <v>2017 Maj</v>
      </c>
      <c r="C34" s="6">
        <f t="shared" si="4"/>
        <v>157914.26</v>
      </c>
      <c r="D34" s="6" t="e">
        <f>E34+#REF!+#REF!</f>
        <v>#REF!</v>
      </c>
      <c r="E34" s="6" t="e">
        <f>F34+K34+#REF!</f>
        <v>#REF!</v>
      </c>
      <c r="F34" s="6">
        <f t="shared" si="5"/>
        <v>104452.92439999999</v>
      </c>
      <c r="G34" s="6">
        <v>889.63575000000003</v>
      </c>
      <c r="H34" s="6">
        <v>9382.2986500000006</v>
      </c>
      <c r="I34" s="6">
        <v>51469.11</v>
      </c>
      <c r="J34" s="6">
        <v>42711.88</v>
      </c>
      <c r="K34" s="5">
        <v>5537.27</v>
      </c>
      <c r="L34" s="6">
        <v>6860</v>
      </c>
      <c r="M34" s="6">
        <v>9760</v>
      </c>
      <c r="N34" s="13">
        <v>3797</v>
      </c>
      <c r="O34" s="6">
        <v>4543</v>
      </c>
      <c r="P34" s="6">
        <v>33236.000000000015</v>
      </c>
    </row>
    <row r="35" spans="1:16" s="3" customFormat="1" x14ac:dyDescent="0.25">
      <c r="A35" s="161"/>
      <c r="B35" s="10" t="str">
        <f>IF(L!$A$1=1,L!B158,IF(L!$A$1=2,L!C158,L!D158))</f>
        <v>2017 Qershor</v>
      </c>
      <c r="C35" s="6">
        <f t="shared" si="4"/>
        <v>159068.15</v>
      </c>
      <c r="D35" s="6" t="e">
        <f>E35+#REF!+#REF!</f>
        <v>#REF!</v>
      </c>
      <c r="E35" s="6" t="e">
        <f>F35+K35+#REF!</f>
        <v>#REF!</v>
      </c>
      <c r="F35" s="6">
        <f>SUM(G35:J35)</f>
        <v>127809.27698</v>
      </c>
      <c r="G35" s="6">
        <v>2601.3609299999998</v>
      </c>
      <c r="H35" s="6">
        <v>8699.9960500000016</v>
      </c>
      <c r="I35" s="6">
        <v>69178.31</v>
      </c>
      <c r="J35" s="6">
        <v>47329.61</v>
      </c>
      <c r="K35" s="5">
        <v>1779.38</v>
      </c>
      <c r="L35" s="6">
        <v>6128</v>
      </c>
      <c r="M35" s="6">
        <v>9580</v>
      </c>
      <c r="N35" s="13">
        <v>2807</v>
      </c>
      <c r="O35" s="6">
        <v>4663.25</v>
      </c>
      <c r="P35" s="6">
        <v>17602.599999999999</v>
      </c>
    </row>
    <row r="36" spans="1:16" s="3" customFormat="1" x14ac:dyDescent="0.25">
      <c r="A36" s="161"/>
      <c r="B36" s="10" t="str">
        <f>IF(L!$A$1=1,L!B159,IF(L!$A$1=2,L!C159,L!D159))</f>
        <v>2017 Korrik</v>
      </c>
      <c r="C36" s="6">
        <f t="shared" si="4"/>
        <v>233463.43</v>
      </c>
      <c r="D36" s="6" t="e">
        <f>E36+#REF!+#REF!</f>
        <v>#REF!</v>
      </c>
      <c r="E36" s="6" t="e">
        <f>F36+K36+#REF!</f>
        <v>#REF!</v>
      </c>
      <c r="F36" s="6">
        <f>SUM(G36:J36)</f>
        <v>179181.60444999998</v>
      </c>
      <c r="G36" s="6">
        <v>15748.313610000001</v>
      </c>
      <c r="H36" s="6">
        <v>15119.66084</v>
      </c>
      <c r="I36" s="6">
        <v>67006.67</v>
      </c>
      <c r="J36" s="6">
        <v>81306.960000000006</v>
      </c>
      <c r="K36" s="5">
        <v>1108</v>
      </c>
      <c r="L36" s="6">
        <v>7442</v>
      </c>
      <c r="M36" s="6">
        <v>10490</v>
      </c>
      <c r="N36" s="6">
        <v>4028</v>
      </c>
      <c r="O36" s="6">
        <v>2212.5500000000002</v>
      </c>
      <c r="P36" s="6">
        <v>59869.25</v>
      </c>
    </row>
    <row r="37" spans="1:16" s="3" customFormat="1" x14ac:dyDescent="0.25">
      <c r="A37" s="161"/>
      <c r="B37" s="10" t="str">
        <f>IF(L!$A$1=1,L!B160,IF(L!$A$1=2,L!C160,L!D160))</f>
        <v>2017 Gusht</v>
      </c>
      <c r="C37" s="6">
        <f t="shared" si="4"/>
        <v>180085.88</v>
      </c>
      <c r="D37" s="6" t="e">
        <f>E37+#REF!+#REF!</f>
        <v>#REF!</v>
      </c>
      <c r="E37" s="6" t="e">
        <f>F37+K37+#REF!</f>
        <v>#REF!</v>
      </c>
      <c r="F37" s="6">
        <f>SUM(G37:J37)</f>
        <v>98498.667579999994</v>
      </c>
      <c r="G37" s="6">
        <v>1608.6910700000001</v>
      </c>
      <c r="H37" s="6">
        <v>10001.44651</v>
      </c>
      <c r="I37" s="6">
        <v>80968.509999999995</v>
      </c>
      <c r="J37" s="6">
        <v>5920.02</v>
      </c>
      <c r="K37" s="5">
        <v>4543.3999999999996</v>
      </c>
      <c r="L37" s="6">
        <v>9736</v>
      </c>
      <c r="M37" s="6">
        <v>12060</v>
      </c>
      <c r="N37" s="6">
        <v>6031</v>
      </c>
      <c r="O37" s="6">
        <v>1768</v>
      </c>
      <c r="P37" s="6">
        <v>59058.95</v>
      </c>
    </row>
    <row r="38" spans="1:16" s="3" customFormat="1" x14ac:dyDescent="0.25">
      <c r="A38" s="161"/>
      <c r="B38" s="10" t="str">
        <f>IF(L!$A$1=1,L!B161,IF(L!$A$1=2,L!C161,L!D161))</f>
        <v>2017 Shtator</v>
      </c>
      <c r="C38" s="6">
        <f t="shared" si="4"/>
        <v>181651.66</v>
      </c>
      <c r="D38" s="6"/>
      <c r="E38" s="6"/>
      <c r="F38" s="6"/>
      <c r="G38" s="6"/>
      <c r="H38" s="6"/>
      <c r="I38" s="6">
        <v>26308.83</v>
      </c>
      <c r="J38" s="6">
        <v>62065.81</v>
      </c>
      <c r="K38" s="6">
        <v>4503.6000000000004</v>
      </c>
      <c r="L38" s="6">
        <v>5906</v>
      </c>
      <c r="M38" s="6">
        <v>8770</v>
      </c>
      <c r="N38" s="6">
        <v>4154.5</v>
      </c>
      <c r="O38" s="6">
        <v>6171.45</v>
      </c>
      <c r="P38" s="6">
        <v>63771.47</v>
      </c>
    </row>
    <row r="39" spans="1:16" s="3" customFormat="1" x14ac:dyDescent="0.25">
      <c r="A39" s="161"/>
      <c r="B39" s="10" t="str">
        <f>IF(L!$A$1=1,L!B162,IF(L!$A$1=2,L!C162,L!D162))</f>
        <v>2017 Tetor</v>
      </c>
      <c r="C39" s="6">
        <f t="shared" si="4"/>
        <v>149279.29999999999</v>
      </c>
      <c r="D39" s="6"/>
      <c r="E39" s="6"/>
      <c r="F39" s="6"/>
      <c r="G39" s="6"/>
      <c r="H39" s="6"/>
      <c r="I39" s="6">
        <v>12069.84</v>
      </c>
      <c r="J39" s="6">
        <v>81443.78</v>
      </c>
      <c r="K39" s="6">
        <v>698.38</v>
      </c>
      <c r="L39" s="6">
        <v>6020</v>
      </c>
      <c r="M39" s="6">
        <v>9780.5</v>
      </c>
      <c r="N39" s="6">
        <v>4477</v>
      </c>
      <c r="O39" s="6">
        <v>7675</v>
      </c>
      <c r="P39" s="6">
        <v>27114.799999999999</v>
      </c>
    </row>
    <row r="40" spans="1:16" s="3" customFormat="1" x14ac:dyDescent="0.25">
      <c r="A40" s="161"/>
      <c r="B40" s="10" t="str">
        <f>IF(L!$A$1=1,L!B163,IF(L!$A$1=2,L!C163,L!D163))</f>
        <v xml:space="preserve">2017 Nëntor </v>
      </c>
      <c r="C40" s="6">
        <f t="shared" si="4"/>
        <v>290758.19</v>
      </c>
      <c r="D40" s="6"/>
      <c r="E40" s="6"/>
      <c r="F40" s="6"/>
      <c r="G40" s="6"/>
      <c r="H40" s="6"/>
      <c r="I40" s="6">
        <v>16426.5</v>
      </c>
      <c r="J40" s="6">
        <v>214943.27</v>
      </c>
      <c r="K40" s="6">
        <v>3908.6</v>
      </c>
      <c r="L40" s="6">
        <v>5272</v>
      </c>
      <c r="M40" s="6">
        <v>9470</v>
      </c>
      <c r="N40" s="6">
        <v>3309.5</v>
      </c>
      <c r="O40" s="6">
        <v>5672.7</v>
      </c>
      <c r="P40" s="6">
        <v>31755.62</v>
      </c>
    </row>
    <row r="41" spans="1:16" s="3" customFormat="1" x14ac:dyDescent="0.25">
      <c r="A41" s="161"/>
      <c r="B41" s="10" t="str">
        <f>IF(L!$A$1=1,L!B164,IF(L!$A$1=2,L!C164,L!D164))</f>
        <v>2017 Dhjetor</v>
      </c>
      <c r="C41" s="6">
        <f t="shared" si="4"/>
        <v>179390.45</v>
      </c>
      <c r="D41" s="6"/>
      <c r="E41" s="6"/>
      <c r="F41" s="6"/>
      <c r="G41" s="6"/>
      <c r="H41" s="6"/>
      <c r="I41" s="6">
        <v>80716.42</v>
      </c>
      <c r="J41" s="6">
        <v>43250.74</v>
      </c>
      <c r="K41" s="6">
        <v>2813.53</v>
      </c>
      <c r="L41" s="6">
        <v>5461</v>
      </c>
      <c r="M41" s="6">
        <v>9750.5</v>
      </c>
      <c r="N41" s="6">
        <v>4996.5</v>
      </c>
      <c r="O41" s="6">
        <v>4339.5</v>
      </c>
      <c r="P41" s="6">
        <v>28062.26</v>
      </c>
    </row>
    <row r="42" spans="1:16" s="3" customFormat="1" x14ac:dyDescent="0.25">
      <c r="A42" s="162"/>
      <c r="B42" s="11" t="str">
        <f>IF(L!$A$1=1,L!B165,IF(L!$A$1=2,L!C165,L!D165))</f>
        <v>Gjithsej 2017</v>
      </c>
      <c r="C42" s="12">
        <f t="shared" ref="C42" si="6">SUM(I42:P42)</f>
        <v>2082934.8</v>
      </c>
      <c r="D42" s="12" t="e">
        <f>E42+#REF!+#REF!</f>
        <v>#REF!</v>
      </c>
      <c r="E42" s="12" t="e">
        <f>F42+K42+#REF!</f>
        <v>#REF!</v>
      </c>
      <c r="F42" s="12">
        <f>SUM(G42:J42)</f>
        <v>1434030.2910800001</v>
      </c>
      <c r="G42" s="7">
        <f t="shared" ref="G42:P42" si="7">SUM(G30:G41)</f>
        <v>57153.778850000002</v>
      </c>
      <c r="H42" s="7">
        <f t="shared" si="7"/>
        <v>92265.932229999991</v>
      </c>
      <c r="I42" s="7">
        <f t="shared" si="7"/>
        <v>578397.02</v>
      </c>
      <c r="J42" s="7">
        <f t="shared" si="7"/>
        <v>706213.56</v>
      </c>
      <c r="K42" s="7">
        <f t="shared" si="7"/>
        <v>30971.48</v>
      </c>
      <c r="L42" s="7">
        <f t="shared" si="7"/>
        <v>76323</v>
      </c>
      <c r="M42" s="7">
        <f t="shared" si="7"/>
        <v>109771</v>
      </c>
      <c r="N42" s="7">
        <f t="shared" si="7"/>
        <v>49525</v>
      </c>
      <c r="O42" s="7">
        <f t="shared" si="7"/>
        <v>65398.45</v>
      </c>
      <c r="P42" s="7">
        <f t="shared" si="7"/>
        <v>466335.29</v>
      </c>
    </row>
    <row r="43" spans="1:16" s="3" customFormat="1" x14ac:dyDescent="0.25">
      <c r="A43" s="160">
        <v>2018</v>
      </c>
      <c r="B43" s="10" t="str">
        <f>IF(L!$A$1=1,L!B166,IF(L!$A$1=2,L!C166,L!D166))</f>
        <v>2018 Janar</v>
      </c>
      <c r="C43" s="6">
        <f>I43+J43+K43+L43+M43+N43+O43+P43</f>
        <v>87065.34</v>
      </c>
      <c r="D43" s="6" t="e">
        <f>E43+#REF!+#REF!</f>
        <v>#REF!</v>
      </c>
      <c r="E43" s="6" t="e">
        <f>F43+K43+#REF!</f>
        <v>#REF!</v>
      </c>
      <c r="F43" s="6">
        <f>SUM(G43:J43)</f>
        <v>64593.116959999999</v>
      </c>
      <c r="G43" s="6">
        <v>14207.96803</v>
      </c>
      <c r="H43" s="6">
        <v>14908.58893</v>
      </c>
      <c r="I43" s="6">
        <v>35476.559999999998</v>
      </c>
      <c r="J43" s="6"/>
      <c r="K43" s="5">
        <v>18940.28</v>
      </c>
      <c r="L43" s="6">
        <v>5389</v>
      </c>
      <c r="M43" s="6">
        <v>8200</v>
      </c>
      <c r="N43" s="6">
        <v>3812.5</v>
      </c>
      <c r="O43" s="6">
        <v>2214</v>
      </c>
      <c r="P43" s="6">
        <v>13033</v>
      </c>
    </row>
    <row r="44" spans="1:16" s="3" customFormat="1" x14ac:dyDescent="0.25">
      <c r="A44" s="161"/>
      <c r="B44" s="10" t="str">
        <f>IF(L!$A$1=1,L!B167,IF(L!$A$1=2,L!C167,L!D167))</f>
        <v>2018 Shkurt</v>
      </c>
      <c r="C44" s="6">
        <f t="shared" ref="C44:C54" si="8">I44+J44+K44+L44+M44+N44+O44+P44</f>
        <v>103523.54000000001</v>
      </c>
      <c r="D44" s="6" t="e">
        <f>E44+#REF!+#REF!</f>
        <v>#REF!</v>
      </c>
      <c r="E44" s="6" t="e">
        <f>F44+K44+#REF!</f>
        <v>#REF!</v>
      </c>
      <c r="F44" s="6">
        <f t="shared" ref="F44:F47" si="9">SUM(G44:J44)</f>
        <v>70461.012690000003</v>
      </c>
      <c r="G44" s="6">
        <v>326.72095999999999</v>
      </c>
      <c r="H44" s="6">
        <v>8580.42173</v>
      </c>
      <c r="I44" s="6">
        <v>61340.62</v>
      </c>
      <c r="J44" s="6">
        <v>213.25</v>
      </c>
      <c r="K44" s="5">
        <v>9520.7000000000007</v>
      </c>
      <c r="L44" s="6">
        <v>5576</v>
      </c>
      <c r="M44" s="6">
        <v>6650</v>
      </c>
      <c r="N44" s="6">
        <v>4586.5</v>
      </c>
      <c r="O44" s="6">
        <v>4376</v>
      </c>
      <c r="P44" s="6">
        <f>103523.47-92263</f>
        <v>11260.470000000001</v>
      </c>
    </row>
    <row r="45" spans="1:16" s="3" customFormat="1" x14ac:dyDescent="0.25">
      <c r="A45" s="161"/>
      <c r="B45" s="10" t="str">
        <f>IF(L!$A$1=1,L!B168,IF(L!$A$1=2,L!C168,L!D168))</f>
        <v xml:space="preserve">2018 Mars </v>
      </c>
      <c r="C45" s="6">
        <f t="shared" si="8"/>
        <v>170051</v>
      </c>
      <c r="D45" s="6" t="e">
        <f>E45+#REF!+#REF!</f>
        <v>#REF!</v>
      </c>
      <c r="E45" s="6" t="e">
        <f>F45+K45+#REF!</f>
        <v>#REF!</v>
      </c>
      <c r="F45" s="6">
        <f t="shared" si="9"/>
        <v>118097.41905</v>
      </c>
      <c r="G45" s="6">
        <v>4315.2796500000004</v>
      </c>
      <c r="H45" s="6">
        <v>9753.1394</v>
      </c>
      <c r="I45" s="13">
        <v>62058</v>
      </c>
      <c r="J45" s="6">
        <v>41971</v>
      </c>
      <c r="K45" s="5">
        <v>1491</v>
      </c>
      <c r="L45" s="6">
        <v>5529</v>
      </c>
      <c r="M45" s="6">
        <v>9800</v>
      </c>
      <c r="N45" s="6">
        <v>4171</v>
      </c>
      <c r="O45" s="6">
        <v>12487</v>
      </c>
      <c r="P45" s="6">
        <v>32544</v>
      </c>
    </row>
    <row r="46" spans="1:16" s="3" customFormat="1" x14ac:dyDescent="0.25">
      <c r="A46" s="161"/>
      <c r="B46" s="10" t="str">
        <f>IF(L!$A$1=1,L!B169,IF(L!$A$1=2,L!C169,L!D169))</f>
        <v>2018 Prill</v>
      </c>
      <c r="C46" s="6">
        <f t="shared" si="8"/>
        <v>96250</v>
      </c>
      <c r="D46" s="6" t="e">
        <f>E46+#REF!+#REF!</f>
        <v>#REF!</v>
      </c>
      <c r="E46" s="6" t="e">
        <f>F46+K46+#REF!</f>
        <v>#REF!</v>
      </c>
      <c r="F46" s="6">
        <f t="shared" si="9"/>
        <v>69096.188970000003</v>
      </c>
      <c r="G46" s="6">
        <v>17455.808850000001</v>
      </c>
      <c r="H46" s="6">
        <v>15820.380120000002</v>
      </c>
      <c r="I46" s="6">
        <v>35820</v>
      </c>
      <c r="J46" s="6"/>
      <c r="K46" s="5">
        <v>2005</v>
      </c>
      <c r="L46" s="6">
        <v>6737</v>
      </c>
      <c r="M46" s="6">
        <v>8560</v>
      </c>
      <c r="N46" s="6">
        <v>3423</v>
      </c>
      <c r="O46" s="6">
        <v>6153</v>
      </c>
      <c r="P46" s="6">
        <v>33552</v>
      </c>
    </row>
    <row r="47" spans="1:16" s="3" customFormat="1" x14ac:dyDescent="0.25">
      <c r="A47" s="161"/>
      <c r="B47" s="10" t="str">
        <f>IF(L!$A$1=1,L!B170,IF(L!$A$1=2,L!C170,L!D170))</f>
        <v>2018 Maj</v>
      </c>
      <c r="C47" s="6">
        <f t="shared" si="8"/>
        <v>92879</v>
      </c>
      <c r="D47" s="6" t="e">
        <f>E47+#REF!+#REF!</f>
        <v>#REF!</v>
      </c>
      <c r="E47" s="6" t="e">
        <f>F47+K47+#REF!</f>
        <v>#REF!</v>
      </c>
      <c r="F47" s="6">
        <f t="shared" si="9"/>
        <v>62058.934399999998</v>
      </c>
      <c r="G47" s="6">
        <v>889.63575000000003</v>
      </c>
      <c r="H47" s="6">
        <v>9382.2986500000006</v>
      </c>
      <c r="I47" s="6">
        <v>40369</v>
      </c>
      <c r="J47" s="6">
        <v>11418</v>
      </c>
      <c r="K47" s="5">
        <v>2475</v>
      </c>
      <c r="L47" s="6">
        <v>6270</v>
      </c>
      <c r="M47" s="6">
        <v>9550</v>
      </c>
      <c r="N47" s="13">
        <v>3799</v>
      </c>
      <c r="O47" s="6">
        <v>4752</v>
      </c>
      <c r="P47" s="6">
        <v>14246</v>
      </c>
    </row>
    <row r="48" spans="1:16" s="3" customFormat="1" x14ac:dyDescent="0.25">
      <c r="A48" s="161"/>
      <c r="B48" s="10" t="str">
        <f>IF(L!$A$1=1,L!B171,IF(L!$A$1=2,L!C171,L!D171))</f>
        <v>2018 Qershor</v>
      </c>
      <c r="C48" s="6">
        <f t="shared" si="8"/>
        <v>107872</v>
      </c>
      <c r="D48" s="6" t="e">
        <f>E48+#REF!+#REF!</f>
        <v>#REF!</v>
      </c>
      <c r="E48" s="6" t="e">
        <f>F48+K48+#REF!</f>
        <v>#REF!</v>
      </c>
      <c r="F48" s="6">
        <f>SUM(G48:J48)</f>
        <v>84424.356979999997</v>
      </c>
      <c r="G48" s="6">
        <v>2601.3609299999998</v>
      </c>
      <c r="H48" s="6">
        <v>8699.9960500000016</v>
      </c>
      <c r="I48" s="6">
        <v>72219</v>
      </c>
      <c r="J48" s="6">
        <v>904</v>
      </c>
      <c r="K48" s="5">
        <v>3180</v>
      </c>
      <c r="L48" s="6">
        <v>5117</v>
      </c>
      <c r="M48" s="6">
        <v>8961</v>
      </c>
      <c r="N48" s="13">
        <v>2631</v>
      </c>
      <c r="O48" s="6">
        <v>3424</v>
      </c>
      <c r="P48" s="6">
        <v>11436</v>
      </c>
    </row>
    <row r="49" spans="1:16" s="3" customFormat="1" x14ac:dyDescent="0.25">
      <c r="A49" s="161"/>
      <c r="B49" s="10" t="str">
        <f>IF(L!$A$1=1,L!B172,IF(L!$A$1=2,L!C172,L!D172))</f>
        <v>2018 Korrik</v>
      </c>
      <c r="C49" s="6">
        <f t="shared" si="8"/>
        <v>129900</v>
      </c>
      <c r="D49" s="6" t="e">
        <f>E49+#REF!+#REF!</f>
        <v>#REF!</v>
      </c>
      <c r="E49" s="6" t="e">
        <f>F49+K49+#REF!</f>
        <v>#REF!</v>
      </c>
      <c r="F49" s="6">
        <f>SUM(G49:J49)</f>
        <v>115767.97445000001</v>
      </c>
      <c r="G49" s="6">
        <v>15748.313610000001</v>
      </c>
      <c r="H49" s="6">
        <v>15119.66084</v>
      </c>
      <c r="I49" s="6">
        <v>82202</v>
      </c>
      <c r="J49" s="6">
        <v>2698</v>
      </c>
      <c r="K49" s="5">
        <v>3249</v>
      </c>
      <c r="L49" s="6">
        <v>8482</v>
      </c>
      <c r="M49" s="6">
        <v>10350</v>
      </c>
      <c r="N49" s="6">
        <v>4581</v>
      </c>
      <c r="O49" s="6">
        <v>2220</v>
      </c>
      <c r="P49" s="6">
        <v>16118</v>
      </c>
    </row>
    <row r="50" spans="1:16" s="3" customFormat="1" x14ac:dyDescent="0.25">
      <c r="A50" s="161"/>
      <c r="B50" s="10" t="str">
        <f>IF(L!$A$1=1,L!B173,IF(L!$A$1=2,L!C173,L!D173))</f>
        <v>2018 Gusht</v>
      </c>
      <c r="C50" s="6">
        <f t="shared" si="8"/>
        <v>146374</v>
      </c>
      <c r="D50" s="6" t="e">
        <f>E50+#REF!+#REF!</f>
        <v>#REF!</v>
      </c>
      <c r="E50" s="6" t="e">
        <f>F50+K50+#REF!</f>
        <v>#REF!</v>
      </c>
      <c r="F50" s="6">
        <f>SUM(G50:J50)</f>
        <v>77677.137579999995</v>
      </c>
      <c r="G50" s="6">
        <v>1608.6910700000001</v>
      </c>
      <c r="H50" s="6">
        <v>10001.44651</v>
      </c>
      <c r="I50" s="6">
        <v>60043</v>
      </c>
      <c r="J50" s="6">
        <v>6024</v>
      </c>
      <c r="K50" s="5">
        <v>4487</v>
      </c>
      <c r="L50" s="6">
        <v>8857</v>
      </c>
      <c r="M50" s="6">
        <v>11130</v>
      </c>
      <c r="N50" s="6">
        <v>6173</v>
      </c>
      <c r="O50" s="6">
        <v>1497</v>
      </c>
      <c r="P50" s="6">
        <v>48163</v>
      </c>
    </row>
    <row r="51" spans="1:16" s="3" customFormat="1" x14ac:dyDescent="0.25">
      <c r="A51" s="161"/>
      <c r="B51" s="10" t="str">
        <f>IF(L!$A$1=1,L!B174,IF(L!$A$1=2,L!C174,L!D174))</f>
        <v>2018 Shtator</v>
      </c>
      <c r="C51" s="6">
        <f t="shared" si="8"/>
        <v>124887</v>
      </c>
      <c r="D51" s="6"/>
      <c r="E51" s="6"/>
      <c r="F51" s="6"/>
      <c r="G51" s="6"/>
      <c r="H51" s="6"/>
      <c r="I51" s="6">
        <v>30488</v>
      </c>
      <c r="J51" s="6">
        <v>4088</v>
      </c>
      <c r="K51" s="6">
        <v>9754</v>
      </c>
      <c r="L51" s="6">
        <v>6812</v>
      </c>
      <c r="M51" s="6">
        <v>8700</v>
      </c>
      <c r="N51" s="6">
        <v>3746</v>
      </c>
      <c r="O51" s="6">
        <v>4115</v>
      </c>
      <c r="P51" s="6">
        <v>57184</v>
      </c>
    </row>
    <row r="52" spans="1:16" s="3" customFormat="1" x14ac:dyDescent="0.25">
      <c r="A52" s="161"/>
      <c r="B52" s="10" t="str">
        <f>IF(L!$A$1=1,L!B175,IF(L!$A$1=2,L!C175,L!D175))</f>
        <v>2018 Tetor</v>
      </c>
      <c r="C52" s="6">
        <f t="shared" si="8"/>
        <v>211910</v>
      </c>
      <c r="D52" s="6"/>
      <c r="E52" s="6"/>
      <c r="F52" s="6"/>
      <c r="G52" s="6"/>
      <c r="H52" s="6"/>
      <c r="I52" s="6">
        <v>33072</v>
      </c>
      <c r="J52" s="6">
        <v>69056</v>
      </c>
      <c r="K52" s="6">
        <v>6467</v>
      </c>
      <c r="L52" s="6">
        <v>5559</v>
      </c>
      <c r="M52" s="6">
        <v>9650</v>
      </c>
      <c r="N52" s="6">
        <v>4927</v>
      </c>
      <c r="O52" s="6">
        <v>11166</v>
      </c>
      <c r="P52" s="6">
        <v>72013</v>
      </c>
    </row>
    <row r="53" spans="1:16" s="3" customFormat="1" x14ac:dyDescent="0.25">
      <c r="A53" s="161"/>
      <c r="B53" s="10" t="str">
        <f>IF(L!$A$1=1,L!B176,IF(L!$A$1=2,L!C176,L!D176))</f>
        <v xml:space="preserve">2018 Nëntor </v>
      </c>
      <c r="C53" s="6">
        <f t="shared" si="8"/>
        <v>179908</v>
      </c>
      <c r="D53" s="6"/>
      <c r="E53" s="6"/>
      <c r="F53" s="6"/>
      <c r="G53" s="6"/>
      <c r="H53" s="6"/>
      <c r="I53" s="6">
        <v>42983</v>
      </c>
      <c r="J53" s="6">
        <v>60525</v>
      </c>
      <c r="K53" s="6">
        <v>766</v>
      </c>
      <c r="L53" s="6">
        <v>5583</v>
      </c>
      <c r="M53" s="6">
        <v>9700</v>
      </c>
      <c r="N53" s="6">
        <v>4820</v>
      </c>
      <c r="O53" s="6">
        <v>5328</v>
      </c>
      <c r="P53" s="6">
        <v>50203</v>
      </c>
    </row>
    <row r="54" spans="1:16" s="3" customFormat="1" x14ac:dyDescent="0.25">
      <c r="A54" s="161"/>
      <c r="B54" s="10" t="str">
        <f>IF(L!$A$1=1,L!B177,IF(L!$A$1=2,L!C177,L!D177))</f>
        <v>2018 Dhjetor</v>
      </c>
      <c r="C54" s="6">
        <f t="shared" si="8"/>
        <v>186178.18999999997</v>
      </c>
      <c r="D54" s="6"/>
      <c r="E54" s="6"/>
      <c r="F54" s="6"/>
      <c r="G54" s="6"/>
      <c r="H54" s="6"/>
      <c r="I54" s="6">
        <v>105644</v>
      </c>
      <c r="J54" s="6">
        <v>4826.93</v>
      </c>
      <c r="K54" s="6">
        <v>1364.86</v>
      </c>
      <c r="L54" s="6">
        <f>4643+910</f>
        <v>5553</v>
      </c>
      <c r="M54" s="6">
        <v>9580</v>
      </c>
      <c r="N54" s="6">
        <f>5732.5+194</f>
        <v>5926.5</v>
      </c>
      <c r="O54" s="6">
        <f>3124+1139+210</f>
        <v>4473</v>
      </c>
      <c r="P54" s="6">
        <v>48809.9</v>
      </c>
    </row>
    <row r="55" spans="1:16" s="3" customFormat="1" x14ac:dyDescent="0.25">
      <c r="A55" s="162"/>
      <c r="B55" s="11" t="str">
        <f>IF(L!$A$1=1,L!B178,IF(L!$A$1=2,L!C178,L!D178))</f>
        <v>Gjithsej 2018</v>
      </c>
      <c r="C55" s="12">
        <f t="shared" ref="C55" si="10">SUM(I55:P55)</f>
        <v>1636798.0699999998</v>
      </c>
      <c r="D55" s="12" t="e">
        <f>E55+#REF!+#REF!</f>
        <v>#REF!</v>
      </c>
      <c r="E55" s="12" t="e">
        <f>F55+K55+#REF!</f>
        <v>#REF!</v>
      </c>
      <c r="F55" s="12">
        <f>SUM(G55:J55)</f>
        <v>1012859.0710799999</v>
      </c>
      <c r="G55" s="7">
        <f t="shared" ref="G55" si="11">SUM(G43:G54)</f>
        <v>57153.778850000002</v>
      </c>
      <c r="H55" s="7">
        <f t="shared" ref="H55" si="12">SUM(H43:H54)</f>
        <v>92265.932229999991</v>
      </c>
      <c r="I55" s="7">
        <f t="shared" ref="I55" si="13">SUM(I43:I54)</f>
        <v>661715.17999999993</v>
      </c>
      <c r="J55" s="7">
        <f t="shared" ref="J55" si="14">SUM(J43:J54)</f>
        <v>201724.18</v>
      </c>
      <c r="K55" s="7">
        <f t="shared" ref="K55" si="15">SUM(K43:K54)</f>
        <v>63699.839999999997</v>
      </c>
      <c r="L55" s="7">
        <f t="shared" ref="L55" si="16">SUM(L43:L54)</f>
        <v>75464</v>
      </c>
      <c r="M55" s="7">
        <f t="shared" ref="M55" si="17">SUM(M43:M54)</f>
        <v>110831</v>
      </c>
      <c r="N55" s="7">
        <f t="shared" ref="N55" si="18">SUM(N43:N54)</f>
        <v>52596.5</v>
      </c>
      <c r="O55" s="7">
        <f t="shared" ref="O55" si="19">SUM(O43:O54)</f>
        <v>62205</v>
      </c>
      <c r="P55" s="7">
        <f t="shared" ref="P55" si="20">SUM(P43:P54)</f>
        <v>408562.37</v>
      </c>
    </row>
    <row r="56" spans="1:16" s="3" customFormat="1" x14ac:dyDescent="0.25">
      <c r="A56" s="168">
        <v>2019</v>
      </c>
      <c r="B56" s="10" t="str">
        <f>IF(L!$A$1=1,L!B179,IF(L!$A$1=2,L!C179,L!D179))</f>
        <v>2019 Janar</v>
      </c>
      <c r="C56" s="6">
        <f>I56+J56+K56+L56+M56+N56+O56+P56</f>
        <v>110042.20999999999</v>
      </c>
      <c r="D56" s="6" t="e">
        <f>E56+#REF!+#REF!</f>
        <v>#REF!</v>
      </c>
      <c r="E56" s="6" t="e">
        <f>F56+K56+#REF!</f>
        <v>#REF!</v>
      </c>
      <c r="F56" s="6">
        <f>SUM(G56:J56)</f>
        <v>82935.316959999996</v>
      </c>
      <c r="G56" s="6">
        <v>14207.96803</v>
      </c>
      <c r="H56" s="6">
        <v>14908.58893</v>
      </c>
      <c r="I56" s="6">
        <v>47141.919999999998</v>
      </c>
      <c r="J56" s="6">
        <v>6676.84</v>
      </c>
      <c r="K56" s="5">
        <v>1103.71</v>
      </c>
      <c r="L56" s="6">
        <v>5834</v>
      </c>
      <c r="M56" s="6">
        <v>8020</v>
      </c>
      <c r="N56" s="6">
        <v>3549.5</v>
      </c>
      <c r="O56" s="6">
        <v>1635</v>
      </c>
      <c r="P56" s="6">
        <v>36081.24</v>
      </c>
    </row>
    <row r="57" spans="1:16" s="3" customFormat="1" x14ac:dyDescent="0.25">
      <c r="A57" s="168"/>
      <c r="B57" s="10" t="str">
        <f>IF(L!$A$1=1,L!B180,IF(L!$A$1=2,L!C180,L!D180))</f>
        <v>2019 Shkurt</v>
      </c>
      <c r="C57" s="6">
        <f t="shared" ref="C57:C67" si="21">I57+J57+K57+L57+M57+N57+O57+P57</f>
        <v>136796.64000000001</v>
      </c>
      <c r="D57" s="6" t="e">
        <f>E57+#REF!+#REF!</f>
        <v>#REF!</v>
      </c>
      <c r="E57" s="6" t="e">
        <f>F57+K57+#REF!</f>
        <v>#REF!</v>
      </c>
      <c r="F57" s="6">
        <f t="shared" ref="F57:F60" si="22">SUM(G57:J57)</f>
        <v>73281.152690000003</v>
      </c>
      <c r="G57" s="6">
        <v>326.72095999999999</v>
      </c>
      <c r="H57" s="6">
        <v>8580.42173</v>
      </c>
      <c r="I57" s="6">
        <v>36067.07</v>
      </c>
      <c r="J57" s="6">
        <v>28306.94</v>
      </c>
      <c r="K57" s="5">
        <v>2895.77</v>
      </c>
      <c r="L57" s="6">
        <v>6398</v>
      </c>
      <c r="M57" s="6">
        <v>7641</v>
      </c>
      <c r="N57" s="6">
        <v>3541</v>
      </c>
      <c r="O57" s="6">
        <v>4986</v>
      </c>
      <c r="P57" s="6">
        <v>46960.86</v>
      </c>
    </row>
    <row r="58" spans="1:16" s="3" customFormat="1" x14ac:dyDescent="0.25">
      <c r="A58" s="168"/>
      <c r="B58" s="10" t="str">
        <f>IF(L!$A$1=1,L!B181,IF(L!$A$1=2,L!C181,L!D181))</f>
        <v xml:space="preserve">2019 Mars </v>
      </c>
      <c r="C58" s="6">
        <f t="shared" si="21"/>
        <v>234236</v>
      </c>
      <c r="D58" s="6" t="e">
        <f>E58+#REF!+#REF!</f>
        <v>#REF!</v>
      </c>
      <c r="E58" s="6" t="e">
        <f>F58+K58+#REF!</f>
        <v>#REF!</v>
      </c>
      <c r="F58" s="6">
        <f t="shared" si="22"/>
        <v>124634.41905</v>
      </c>
      <c r="G58" s="6">
        <v>4315.2796500000004</v>
      </c>
      <c r="H58" s="6">
        <v>9753.1394</v>
      </c>
      <c r="I58" s="13">
        <v>44911</v>
      </c>
      <c r="J58" s="6">
        <v>65655</v>
      </c>
      <c r="K58" s="5">
        <v>2868</v>
      </c>
      <c r="L58" s="6">
        <v>4661</v>
      </c>
      <c r="M58" s="6">
        <v>9190</v>
      </c>
      <c r="N58" s="6">
        <v>6113</v>
      </c>
      <c r="O58" s="6">
        <v>9306</v>
      </c>
      <c r="P58" s="6">
        <v>91532</v>
      </c>
    </row>
    <row r="59" spans="1:16" s="3" customFormat="1" x14ac:dyDescent="0.25">
      <c r="A59" s="168"/>
      <c r="B59" s="10" t="str">
        <f>IF(L!$A$1=1,L!B182,IF(L!$A$1=2,L!C182,L!D182))</f>
        <v>2019 Prill</v>
      </c>
      <c r="C59" s="6">
        <f t="shared" si="21"/>
        <v>156554</v>
      </c>
      <c r="D59" s="6" t="e">
        <f>E59+#REF!+#REF!</f>
        <v>#REF!</v>
      </c>
      <c r="E59" s="6" t="e">
        <f>F59+K59+#REF!</f>
        <v>#REF!</v>
      </c>
      <c r="F59" s="6">
        <f t="shared" si="22"/>
        <v>85027.188970000003</v>
      </c>
      <c r="G59" s="6">
        <v>17455.808850000001</v>
      </c>
      <c r="H59" s="6">
        <v>15820.380120000002</v>
      </c>
      <c r="I59" s="6">
        <v>45808</v>
      </c>
      <c r="J59" s="6">
        <v>5943</v>
      </c>
      <c r="K59" s="5">
        <v>2677</v>
      </c>
      <c r="L59" s="6">
        <v>6868</v>
      </c>
      <c r="M59" s="6">
        <v>9300</v>
      </c>
      <c r="N59" s="6">
        <v>3801</v>
      </c>
      <c r="O59" s="6">
        <v>4764</v>
      </c>
      <c r="P59" s="6">
        <v>77393</v>
      </c>
    </row>
    <row r="60" spans="1:16" s="3" customFormat="1" x14ac:dyDescent="0.25">
      <c r="A60" s="168"/>
      <c r="B60" s="10" t="str">
        <f>IF(L!$A$1=1,L!B183,IF(L!$A$1=2,L!C183,L!D183))</f>
        <v>2019 Maj</v>
      </c>
      <c r="C60" s="6">
        <f t="shared" si="21"/>
        <v>133961</v>
      </c>
      <c r="D60" s="6" t="e">
        <f>E60+#REF!+#REF!</f>
        <v>#REF!</v>
      </c>
      <c r="E60" s="6" t="e">
        <f>F60+K60+#REF!</f>
        <v>#REF!</v>
      </c>
      <c r="F60" s="6">
        <f t="shared" si="22"/>
        <v>73410.934399999998</v>
      </c>
      <c r="G60" s="6">
        <v>889.63575000000003</v>
      </c>
      <c r="H60" s="6">
        <v>9382.2986500000006</v>
      </c>
      <c r="I60" s="6">
        <v>47332</v>
      </c>
      <c r="J60" s="6">
        <v>15807</v>
      </c>
      <c r="K60" s="5">
        <v>2605</v>
      </c>
      <c r="L60" s="6">
        <v>6575</v>
      </c>
      <c r="M60" s="6">
        <v>9570</v>
      </c>
      <c r="N60" s="13">
        <v>3537</v>
      </c>
      <c r="O60" s="6">
        <v>4203</v>
      </c>
      <c r="P60" s="6">
        <v>44332</v>
      </c>
    </row>
    <row r="61" spans="1:16" s="3" customFormat="1" x14ac:dyDescent="0.25">
      <c r="A61" s="168"/>
      <c r="B61" s="10" t="str">
        <f>IF(L!$A$1=1,L!B184,IF(L!$A$1=2,L!C184,L!D184))</f>
        <v>2019 Qershor</v>
      </c>
      <c r="C61" s="6">
        <f t="shared" si="21"/>
        <v>244880.33</v>
      </c>
      <c r="D61" s="6" t="e">
        <f>E61+#REF!+#REF!</f>
        <v>#REF!</v>
      </c>
      <c r="E61" s="6" t="e">
        <f>F61+K61+#REF!</f>
        <v>#REF!</v>
      </c>
      <c r="F61" s="6">
        <f>SUM(G61:J61)</f>
        <v>126773.90698</v>
      </c>
      <c r="G61" s="6">
        <v>2601.3609299999998</v>
      </c>
      <c r="H61" s="6">
        <v>8699.9960500000016</v>
      </c>
      <c r="I61" s="6">
        <v>82341.929999999993</v>
      </c>
      <c r="J61" s="6">
        <v>33130.620000000003</v>
      </c>
      <c r="K61" s="5">
        <v>1680.78</v>
      </c>
      <c r="L61" s="6">
        <v>6634</v>
      </c>
      <c r="M61" s="6">
        <v>8850</v>
      </c>
      <c r="N61" s="13">
        <v>3408</v>
      </c>
      <c r="O61" s="6">
        <v>4577</v>
      </c>
      <c r="P61" s="6">
        <v>104258</v>
      </c>
    </row>
    <row r="62" spans="1:16" s="3" customFormat="1" x14ac:dyDescent="0.25">
      <c r="A62" s="168"/>
      <c r="B62" s="10" t="str">
        <f>IF(L!$A$1=1,L!B185,IF(L!$A$1=2,L!C185,L!D185))</f>
        <v>2019 Korrik</v>
      </c>
      <c r="C62" s="6">
        <f t="shared" si="21"/>
        <v>240255.99</v>
      </c>
      <c r="D62" s="6" t="e">
        <f>E62+#REF!+#REF!</f>
        <v>#REF!</v>
      </c>
      <c r="E62" s="6" t="e">
        <f>F62+K62+#REF!</f>
        <v>#REF!</v>
      </c>
      <c r="F62" s="6">
        <f>SUM(G62:J62)</f>
        <v>152690.98444999999</v>
      </c>
      <c r="G62" s="6">
        <v>15748.313610000001</v>
      </c>
      <c r="H62" s="6">
        <v>15119.66084</v>
      </c>
      <c r="I62" s="6">
        <v>121823.01</v>
      </c>
      <c r="J62" s="6"/>
      <c r="K62" s="5">
        <v>2477.98</v>
      </c>
      <c r="L62" s="6">
        <v>8583</v>
      </c>
      <c r="M62" s="6">
        <v>12550</v>
      </c>
      <c r="N62" s="6">
        <v>5867</v>
      </c>
      <c r="O62" s="6">
        <v>1617</v>
      </c>
      <c r="P62" s="6">
        <v>87338</v>
      </c>
    </row>
    <row r="63" spans="1:16" s="3" customFormat="1" x14ac:dyDescent="0.25">
      <c r="A63" s="168"/>
      <c r="B63" s="10" t="str">
        <f>IF(L!$A$1=1,L!B186,IF(L!$A$1=2,L!C186,L!D186))</f>
        <v>2019 Gusht</v>
      </c>
      <c r="C63" s="6">
        <f t="shared" si="21"/>
        <v>177718</v>
      </c>
      <c r="D63" s="6" t="e">
        <f>E63+#REF!+#REF!</f>
        <v>#REF!</v>
      </c>
      <c r="E63" s="6" t="e">
        <f>F63+K63+#REF!</f>
        <v>#REF!</v>
      </c>
      <c r="F63" s="6">
        <f>SUM(G63:J63)</f>
        <v>105886.13758</v>
      </c>
      <c r="G63" s="6">
        <v>1608.6910700000001</v>
      </c>
      <c r="H63" s="6">
        <v>10001.44651</v>
      </c>
      <c r="I63" s="6">
        <v>74788</v>
      </c>
      <c r="J63" s="6">
        <v>19488</v>
      </c>
      <c r="K63" s="5">
        <v>1765</v>
      </c>
      <c r="L63" s="6">
        <v>8854</v>
      </c>
      <c r="M63" s="6">
        <v>10330</v>
      </c>
      <c r="N63" s="6">
        <v>5473</v>
      </c>
      <c r="O63" s="6">
        <v>3605</v>
      </c>
      <c r="P63" s="6">
        <v>53415</v>
      </c>
    </row>
    <row r="64" spans="1:16" s="3" customFormat="1" x14ac:dyDescent="0.25">
      <c r="A64" s="168"/>
      <c r="B64" s="10" t="str">
        <f>IF(L!$A$1=1,L!B187,IF(L!$A$1=2,L!C187,L!D187))</f>
        <v>2019 Shtator</v>
      </c>
      <c r="C64" s="6">
        <f t="shared" si="21"/>
        <v>135382</v>
      </c>
      <c r="D64" s="6"/>
      <c r="E64" s="6"/>
      <c r="F64" s="6"/>
      <c r="G64" s="6"/>
      <c r="H64" s="6"/>
      <c r="I64" s="6">
        <v>55464</v>
      </c>
      <c r="J64" s="6">
        <v>1124</v>
      </c>
      <c r="K64" s="6">
        <v>5415</v>
      </c>
      <c r="L64" s="6">
        <v>7361</v>
      </c>
      <c r="M64" s="6">
        <v>8750</v>
      </c>
      <c r="N64" s="6">
        <v>4378</v>
      </c>
      <c r="O64" s="6">
        <v>6058</v>
      </c>
      <c r="P64" s="6">
        <v>46832</v>
      </c>
    </row>
    <row r="65" spans="1:16" s="3" customFormat="1" x14ac:dyDescent="0.25">
      <c r="A65" s="168"/>
      <c r="B65" s="10" t="str">
        <f>IF(L!$A$1=1,L!B188,IF(L!$A$1=2,L!C188,L!D188))</f>
        <v>2019 Tetor</v>
      </c>
      <c r="C65" s="6">
        <f t="shared" si="21"/>
        <v>219631</v>
      </c>
      <c r="D65" s="6"/>
      <c r="E65" s="6"/>
      <c r="F65" s="6"/>
      <c r="G65" s="6"/>
      <c r="H65" s="6"/>
      <c r="I65" s="6">
        <v>56938</v>
      </c>
      <c r="J65" s="6">
        <v>22036</v>
      </c>
      <c r="K65" s="6">
        <v>6084</v>
      </c>
      <c r="L65" s="6">
        <v>6102</v>
      </c>
      <c r="M65" s="6">
        <v>9820</v>
      </c>
      <c r="N65" s="6">
        <v>5582</v>
      </c>
      <c r="O65" s="6">
        <v>8879</v>
      </c>
      <c r="P65" s="6">
        <v>104190</v>
      </c>
    </row>
    <row r="66" spans="1:16" s="3" customFormat="1" x14ac:dyDescent="0.25">
      <c r="A66" s="168"/>
      <c r="B66" s="10" t="str">
        <f>IF(L!$A$1=1,L!B189,IF(L!$A$1=2,L!C189,L!D189))</f>
        <v xml:space="preserve">2019 Nëntor </v>
      </c>
      <c r="C66" s="6">
        <f t="shared" si="21"/>
        <v>222098</v>
      </c>
      <c r="D66" s="6"/>
      <c r="E66" s="6"/>
      <c r="F66" s="6"/>
      <c r="G66" s="6"/>
      <c r="H66" s="6"/>
      <c r="I66" s="6">
        <v>63085</v>
      </c>
      <c r="J66" s="6">
        <v>46467</v>
      </c>
      <c r="K66" s="6">
        <v>8473</v>
      </c>
      <c r="L66" s="6">
        <v>5218</v>
      </c>
      <c r="M66" s="6">
        <v>8730</v>
      </c>
      <c r="N66" s="6">
        <v>4317</v>
      </c>
      <c r="O66" s="6">
        <v>3974</v>
      </c>
      <c r="P66" s="6">
        <v>81834</v>
      </c>
    </row>
    <row r="67" spans="1:16" s="3" customFormat="1" x14ac:dyDescent="0.25">
      <c r="A67" s="168"/>
      <c r="B67" s="10" t="str">
        <f>IF(L!$A$1=1,L!B190,IF(L!$A$1=2,L!C190,L!D190))</f>
        <v>2019 Dhjetor</v>
      </c>
      <c r="C67" s="6">
        <f t="shared" si="21"/>
        <v>278132</v>
      </c>
      <c r="D67" s="6"/>
      <c r="E67" s="6"/>
      <c r="F67" s="6"/>
      <c r="G67" s="6"/>
      <c r="H67" s="6"/>
      <c r="I67" s="6">
        <v>145100</v>
      </c>
      <c r="J67" s="6">
        <v>20344</v>
      </c>
      <c r="K67" s="6">
        <v>4266</v>
      </c>
      <c r="L67" s="6">
        <v>5108</v>
      </c>
      <c r="M67" s="6">
        <v>10020</v>
      </c>
      <c r="N67" s="6">
        <v>6166</v>
      </c>
      <c r="O67" s="6">
        <v>3977</v>
      </c>
      <c r="P67" s="6">
        <v>83151</v>
      </c>
    </row>
    <row r="68" spans="1:16" s="3" customFormat="1" x14ac:dyDescent="0.25">
      <c r="A68" s="168"/>
      <c r="B68" s="11" t="str">
        <f>IF(L!$A$1=1,L!B191,IF(L!$A$1=2,L!C191,L!D191))</f>
        <v>Gjithsej 2019</v>
      </c>
      <c r="C68" s="12">
        <f>SUM(C56:C67)</f>
        <v>2289687.17</v>
      </c>
      <c r="D68" s="12" t="e">
        <f>E68+#REF!+#REF!</f>
        <v>#REF!</v>
      </c>
      <c r="E68" s="12" t="e">
        <f>F68+K68+#REF!</f>
        <v>#REF!</v>
      </c>
      <c r="F68" s="12">
        <f>SUM(G68:J68)</f>
        <v>1235198.0410799999</v>
      </c>
      <c r="G68" s="7">
        <f t="shared" ref="G68:P68" si="23">SUM(G56:G67)</f>
        <v>57153.778850000002</v>
      </c>
      <c r="H68" s="7">
        <f t="shared" si="23"/>
        <v>92265.932229999991</v>
      </c>
      <c r="I68" s="7">
        <f t="shared" si="23"/>
        <v>820799.92999999993</v>
      </c>
      <c r="J68" s="7">
        <f t="shared" si="23"/>
        <v>264978.40000000002</v>
      </c>
      <c r="K68" s="7">
        <f t="shared" si="23"/>
        <v>42311.24</v>
      </c>
      <c r="L68" s="7">
        <f t="shared" si="23"/>
        <v>78196</v>
      </c>
      <c r="M68" s="7">
        <f t="shared" si="23"/>
        <v>112771</v>
      </c>
      <c r="N68" s="7">
        <f t="shared" si="23"/>
        <v>55732.5</v>
      </c>
      <c r="O68" s="7">
        <f t="shared" si="23"/>
        <v>57581</v>
      </c>
      <c r="P68" s="7">
        <f t="shared" si="23"/>
        <v>857317.1</v>
      </c>
    </row>
    <row r="69" spans="1:16" s="3" customFormat="1" x14ac:dyDescent="0.25">
      <c r="A69" s="168">
        <v>2020</v>
      </c>
      <c r="B69" s="10" t="str">
        <f>IF(L!$A$1=1,L!B192,IF(L!$A$1=2,L!C192,L!D192))</f>
        <v>2020 Janar</v>
      </c>
      <c r="C69" s="6">
        <f>I69+J69+K69+L69+M69+N69+O69+P69</f>
        <v>219267.05</v>
      </c>
      <c r="D69" s="6" t="e">
        <f>E69+#REF!+#REF!</f>
        <v>#REF!</v>
      </c>
      <c r="E69" s="6" t="e">
        <f>F69+K69+#REF!</f>
        <v>#REF!</v>
      </c>
      <c r="F69" s="6">
        <f>SUM(G69:J69)</f>
        <v>133329.88696</v>
      </c>
      <c r="G69" s="6">
        <v>14207.96803</v>
      </c>
      <c r="H69" s="6">
        <v>14908.58893</v>
      </c>
      <c r="I69" s="6">
        <v>91705.68</v>
      </c>
      <c r="J69" s="6">
        <v>12507.65</v>
      </c>
      <c r="K69" s="5">
        <v>708.12</v>
      </c>
      <c r="L69" s="6">
        <f>4300+484</f>
        <v>4784</v>
      </c>
      <c r="M69" s="6">
        <v>8270</v>
      </c>
      <c r="N69" s="6">
        <f>3111.5+1190</f>
        <v>4301.5</v>
      </c>
      <c r="O69" s="6">
        <f>2763+106+423</f>
        <v>3292</v>
      </c>
      <c r="P69" s="6">
        <v>93698.1</v>
      </c>
    </row>
    <row r="70" spans="1:16" s="3" customFormat="1" x14ac:dyDescent="0.25">
      <c r="A70" s="168"/>
      <c r="B70" s="10" t="str">
        <f>IF(L!$A$1=1,L!B193,IF(L!$A$1=2,L!C193,L!D193))</f>
        <v>2020 Shkurt</v>
      </c>
      <c r="C70" s="6">
        <f t="shared" ref="C70:C80" si="24">I70+J70+K70+L70+M70+N70+O70+P70</f>
        <v>138396.35</v>
      </c>
      <c r="D70" s="6" t="e">
        <f>E70+#REF!+#REF!</f>
        <v>#REF!</v>
      </c>
      <c r="E70" s="6" t="e">
        <f>F70+K70+#REF!</f>
        <v>#REF!</v>
      </c>
      <c r="F70" s="6">
        <f t="shared" ref="F70:F73" si="25">SUM(G70:J70)</f>
        <v>60232.932690000001</v>
      </c>
      <c r="G70" s="6">
        <v>326.72095999999999</v>
      </c>
      <c r="H70" s="6">
        <v>8580.42173</v>
      </c>
      <c r="I70" s="6">
        <v>49302.13</v>
      </c>
      <c r="J70" s="6">
        <v>2023.66</v>
      </c>
      <c r="K70" s="5">
        <f>3434.93+44.25</f>
        <v>3479.18</v>
      </c>
      <c r="L70" s="6">
        <f>5589+417</f>
        <v>6006</v>
      </c>
      <c r="M70" s="6">
        <v>8350</v>
      </c>
      <c r="N70" s="6">
        <v>5118.5</v>
      </c>
      <c r="O70" s="6">
        <f>2141+1300+1395</f>
        <v>4836</v>
      </c>
      <c r="P70" s="6">
        <v>59280.88</v>
      </c>
    </row>
    <row r="71" spans="1:16" s="3" customFormat="1" x14ac:dyDescent="0.25">
      <c r="A71" s="168"/>
      <c r="B71" s="10" t="str">
        <f>IF(L!$A$1=1,L!B194,IF(L!$A$1=2,L!C194,L!D194))</f>
        <v xml:space="preserve">2020 Mars </v>
      </c>
      <c r="C71" s="6">
        <f t="shared" si="24"/>
        <v>88825.09</v>
      </c>
      <c r="D71" s="6" t="e">
        <f>E71+#REF!+#REF!</f>
        <v>#REF!</v>
      </c>
      <c r="E71" s="6" t="e">
        <f>F71+K71+#REF!</f>
        <v>#REF!</v>
      </c>
      <c r="F71" s="6">
        <f t="shared" si="25"/>
        <v>45859.879049999996</v>
      </c>
      <c r="G71" s="6">
        <v>4315.2796500000004</v>
      </c>
      <c r="H71" s="6">
        <v>9753.1394</v>
      </c>
      <c r="I71" s="13">
        <v>28575.75</v>
      </c>
      <c r="J71" s="6">
        <v>3215.71</v>
      </c>
      <c r="K71" s="5">
        <f>367.26+27</f>
        <v>394.26</v>
      </c>
      <c r="L71" s="6">
        <f>2954+510</f>
        <v>3464</v>
      </c>
      <c r="M71" s="6">
        <v>5510</v>
      </c>
      <c r="N71" s="6">
        <v>2892</v>
      </c>
      <c r="O71" s="6">
        <f>1635+550+2825</f>
        <v>5010</v>
      </c>
      <c r="P71" s="6">
        <v>39763.370000000003</v>
      </c>
    </row>
    <row r="72" spans="1:16" s="3" customFormat="1" x14ac:dyDescent="0.25">
      <c r="A72" s="168"/>
      <c r="B72" s="10" t="str">
        <f>IF(L!$A$1=1,L!B195,IF(L!$A$1=2,L!C195,L!D195))</f>
        <v>2020 Prill</v>
      </c>
      <c r="C72" s="6">
        <f t="shared" si="24"/>
        <v>7867.6900000000005</v>
      </c>
      <c r="D72" s="6" t="e">
        <f>E72+#REF!+#REF!</f>
        <v>#REF!</v>
      </c>
      <c r="E72" s="6" t="e">
        <f>F72+K72+#REF!</f>
        <v>#REF!</v>
      </c>
      <c r="F72" s="6">
        <f t="shared" si="25"/>
        <v>36502.81897</v>
      </c>
      <c r="G72" s="6">
        <v>17455.808850000001</v>
      </c>
      <c r="H72" s="6">
        <v>15820.380120000002</v>
      </c>
      <c r="I72" s="6">
        <v>3226.63</v>
      </c>
      <c r="J72" s="6"/>
      <c r="K72" s="5"/>
      <c r="L72" s="6">
        <v>20</v>
      </c>
      <c r="M72" s="6">
        <v>1420</v>
      </c>
      <c r="N72" s="6">
        <v>54</v>
      </c>
      <c r="O72" s="6"/>
      <c r="P72" s="6">
        <v>3147.06</v>
      </c>
    </row>
    <row r="73" spans="1:16" s="3" customFormat="1" x14ac:dyDescent="0.25">
      <c r="A73" s="168"/>
      <c r="B73" s="10" t="str">
        <f>IF(L!$A$1=1,L!B196,IF(L!$A$1=2,L!C196,L!D196))</f>
        <v>2020 Maj</v>
      </c>
      <c r="C73" s="6">
        <f t="shared" si="24"/>
        <v>89382.93</v>
      </c>
      <c r="D73" s="6" t="e">
        <f>E73+#REF!+#REF!</f>
        <v>#REF!</v>
      </c>
      <c r="E73" s="6" t="e">
        <f>F73+K73+#REF!</f>
        <v>#REF!</v>
      </c>
      <c r="F73" s="6">
        <f t="shared" si="25"/>
        <v>43635.974399999999</v>
      </c>
      <c r="G73" s="6">
        <v>889.63575000000003</v>
      </c>
      <c r="H73" s="6">
        <v>9382.2986500000006</v>
      </c>
      <c r="I73" s="6">
        <v>28390.66</v>
      </c>
      <c r="J73" s="6">
        <v>4973.38</v>
      </c>
      <c r="K73" s="5"/>
      <c r="L73" s="6">
        <f>179+143</f>
        <v>322</v>
      </c>
      <c r="M73" s="6">
        <v>5720</v>
      </c>
      <c r="N73" s="13">
        <v>72</v>
      </c>
      <c r="O73" s="6"/>
      <c r="P73" s="6">
        <f>89382.89-39478</f>
        <v>49904.89</v>
      </c>
    </row>
    <row r="74" spans="1:16" s="3" customFormat="1" x14ac:dyDescent="0.25">
      <c r="A74" s="168"/>
      <c r="B74" s="10" t="str">
        <f>IF(L!$A$1=1,L!B197,IF(L!$A$1=2,L!C197,L!D197))</f>
        <v>2020 Qershor</v>
      </c>
      <c r="C74" s="6">
        <f t="shared" si="24"/>
        <v>241028.22</v>
      </c>
      <c r="D74" s="6" t="e">
        <f>E74+#REF!+#REF!</f>
        <v>#REF!</v>
      </c>
      <c r="E74" s="6" t="e">
        <f>F74+K74+#REF!</f>
        <v>#REF!</v>
      </c>
      <c r="F74" s="6">
        <f>SUM(G74:J74)</f>
        <v>123816.24698</v>
      </c>
      <c r="G74" s="6">
        <v>2601.3609299999998</v>
      </c>
      <c r="H74" s="6">
        <v>8699.9960500000016</v>
      </c>
      <c r="I74" s="6">
        <v>69778.83</v>
      </c>
      <c r="J74" s="6">
        <v>42736.06</v>
      </c>
      <c r="K74" s="5"/>
      <c r="L74" s="6">
        <f>2773+695</f>
        <v>3468</v>
      </c>
      <c r="M74" s="6">
        <v>14790</v>
      </c>
      <c r="N74" s="13">
        <v>288</v>
      </c>
      <c r="O74" s="6">
        <f>102+3350+4065</f>
        <v>7517</v>
      </c>
      <c r="P74" s="6">
        <f>241037.33-138587</f>
        <v>102450.32999999999</v>
      </c>
    </row>
    <row r="75" spans="1:16" s="3" customFormat="1" x14ac:dyDescent="0.25">
      <c r="A75" s="168"/>
      <c r="B75" s="10" t="str">
        <f>IF(L!$A$1=1,L!B198,IF(L!$A$1=2,L!C198,L!D198))</f>
        <v>2020 Korrik</v>
      </c>
      <c r="C75" s="6">
        <f t="shared" si="24"/>
        <v>264283.63</v>
      </c>
      <c r="D75" s="6" t="e">
        <f>E75+#REF!+#REF!</f>
        <v>#REF!</v>
      </c>
      <c r="E75" s="6" t="e">
        <f>F75+K75+#REF!</f>
        <v>#REF!</v>
      </c>
      <c r="F75" s="6">
        <f>SUM(G75:J75)</f>
        <v>213474.80445</v>
      </c>
      <c r="G75" s="6">
        <v>15748.313610000001</v>
      </c>
      <c r="H75" s="6">
        <v>15119.66084</v>
      </c>
      <c r="I75" s="6">
        <v>104232.89</v>
      </c>
      <c r="J75" s="6">
        <v>78373.94</v>
      </c>
      <c r="K75" s="5">
        <v>200</v>
      </c>
      <c r="L75" s="6">
        <f>6012+444</f>
        <v>6456</v>
      </c>
      <c r="M75" s="6">
        <v>11970</v>
      </c>
      <c r="N75" s="6">
        <v>1310.5</v>
      </c>
      <c r="O75" s="6">
        <f>300+125</f>
        <v>425</v>
      </c>
      <c r="P75" s="6">
        <v>61315.3</v>
      </c>
    </row>
    <row r="76" spans="1:16" s="3" customFormat="1" x14ac:dyDescent="0.25">
      <c r="A76" s="168"/>
      <c r="B76" s="10" t="str">
        <f>IF(L!$A$1=1,L!B199,IF(L!$A$1=2,L!C199,L!D199))</f>
        <v>2020 Gusht</v>
      </c>
      <c r="C76" s="6">
        <f t="shared" si="24"/>
        <v>185707.37</v>
      </c>
      <c r="D76" s="6" t="e">
        <f>E76+#REF!+#REF!</f>
        <v>#REF!</v>
      </c>
      <c r="E76" s="6" t="e">
        <f>F76+K76+#REF!</f>
        <v>#REF!</v>
      </c>
      <c r="F76" s="6">
        <f>SUM(G76:J76)</f>
        <v>107857.16757999999</v>
      </c>
      <c r="G76" s="6">
        <v>1608.6910700000001</v>
      </c>
      <c r="H76" s="6">
        <v>10001.44651</v>
      </c>
      <c r="I76" s="6">
        <v>71564.47</v>
      </c>
      <c r="J76" s="6">
        <v>24682.560000000001</v>
      </c>
      <c r="K76" s="5">
        <v>240</v>
      </c>
      <c r="L76" s="6">
        <f>2930+646</f>
        <v>3576</v>
      </c>
      <c r="M76" s="6">
        <v>1310.5</v>
      </c>
      <c r="N76" s="6">
        <v>2409</v>
      </c>
      <c r="O76" s="6">
        <f>1590+825</f>
        <v>2415</v>
      </c>
      <c r="P76" s="6">
        <v>79509.84</v>
      </c>
    </row>
    <row r="77" spans="1:16" s="3" customFormat="1" x14ac:dyDescent="0.25">
      <c r="A77" s="168"/>
      <c r="B77" s="10" t="str">
        <f>IF(L!$A$1=1,L!B200,IF(L!$A$1=2,L!C200,L!D200))</f>
        <v>2020 Shtator</v>
      </c>
      <c r="C77" s="6">
        <f t="shared" si="24"/>
        <v>219508.46</v>
      </c>
      <c r="D77" s="6"/>
      <c r="E77" s="6"/>
      <c r="F77" s="6"/>
      <c r="G77" s="6"/>
      <c r="H77" s="6"/>
      <c r="I77" s="6">
        <v>67143.820000000007</v>
      </c>
      <c r="J77" s="6">
        <v>43099.42</v>
      </c>
      <c r="K77" s="6"/>
      <c r="L77" s="6">
        <f>8088+1066</f>
        <v>9154</v>
      </c>
      <c r="M77" s="6">
        <v>10370</v>
      </c>
      <c r="N77" s="6">
        <v>1467.5</v>
      </c>
      <c r="O77" s="6">
        <f>190+1042+2625</f>
        <v>3857</v>
      </c>
      <c r="P77" s="6">
        <v>84416.72</v>
      </c>
    </row>
    <row r="78" spans="1:16" s="3" customFormat="1" x14ac:dyDescent="0.25">
      <c r="A78" s="168"/>
      <c r="B78" s="10" t="str">
        <f>IF(L!$A$1=1,L!B201,IF(L!$A$1=2,L!C201,L!D201))</f>
        <v>2020 Tetor</v>
      </c>
      <c r="C78" s="6">
        <f t="shared" si="24"/>
        <v>186429.2</v>
      </c>
      <c r="D78" s="6"/>
      <c r="E78" s="6"/>
      <c r="F78" s="6"/>
      <c r="G78" s="6"/>
      <c r="H78" s="6"/>
      <c r="I78" s="6">
        <v>82231.33</v>
      </c>
      <c r="J78" s="6">
        <v>14620.87</v>
      </c>
      <c r="K78" s="6"/>
      <c r="L78" s="6">
        <f>5333+443</f>
        <v>5776</v>
      </c>
      <c r="M78" s="6">
        <v>10610</v>
      </c>
      <c r="N78" s="6">
        <v>4033.5</v>
      </c>
      <c r="O78" s="6">
        <f>3110+3035</f>
        <v>6145</v>
      </c>
      <c r="P78" s="6">
        <v>63012.5</v>
      </c>
    </row>
    <row r="79" spans="1:16" s="3" customFormat="1" x14ac:dyDescent="0.25">
      <c r="A79" s="168"/>
      <c r="B79" s="10" t="str">
        <f>IF(L!$A$1=1,L!B202,IF(L!$A$1=2,L!C202,L!D202))</f>
        <v xml:space="preserve">2020 Nëntor </v>
      </c>
      <c r="C79" s="6">
        <f t="shared" si="24"/>
        <v>275512.37</v>
      </c>
      <c r="D79" s="6"/>
      <c r="E79" s="6"/>
      <c r="F79" s="6"/>
      <c r="G79" s="6"/>
      <c r="H79" s="6"/>
      <c r="I79" s="6">
        <v>68268.990000000005</v>
      </c>
      <c r="J79" s="6">
        <v>129803.5</v>
      </c>
      <c r="K79" s="6"/>
      <c r="L79" s="6">
        <f>1699+183</f>
        <v>1882</v>
      </c>
      <c r="M79" s="6">
        <v>12221</v>
      </c>
      <c r="N79" s="6">
        <v>3357</v>
      </c>
      <c r="O79" s="6">
        <f>1110+1250</f>
        <v>2360</v>
      </c>
      <c r="P79" s="6">
        <v>57619.88</v>
      </c>
    </row>
    <row r="80" spans="1:16" s="3" customFormat="1" x14ac:dyDescent="0.25">
      <c r="A80" s="168"/>
      <c r="B80" s="10" t="str">
        <f>IF(L!$A$1=1,L!B203,IF(L!$A$1=2,L!C203,L!D203))</f>
        <v>2020 Dhjetor</v>
      </c>
      <c r="C80" s="6">
        <f t="shared" si="24"/>
        <v>0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8" s="3" customFormat="1" x14ac:dyDescent="0.25">
      <c r="A81" s="168"/>
      <c r="B81" s="11" t="str">
        <f>IF(L!$A$1=1,L!B204,IF(L!$A$1=2,L!C204,L!D204))</f>
        <v>Gjithsej 2020</v>
      </c>
      <c r="C81" s="12">
        <f>SUM(C69:C80)</f>
        <v>1916208.3599999999</v>
      </c>
      <c r="D81" s="12" t="e">
        <f>E81+#REF!+#REF!</f>
        <v>#REF!</v>
      </c>
      <c r="E81" s="12" t="e">
        <f>F81+K81+#REF!</f>
        <v>#REF!</v>
      </c>
      <c r="F81" s="12">
        <f>SUM(G81:J81)</f>
        <v>1169877.64108</v>
      </c>
      <c r="G81" s="7">
        <f t="shared" ref="G81:P81" si="26">SUM(G69:G80)</f>
        <v>57153.778850000002</v>
      </c>
      <c r="H81" s="7">
        <f t="shared" si="26"/>
        <v>92265.932229999991</v>
      </c>
      <c r="I81" s="7">
        <f t="shared" si="26"/>
        <v>664421.18000000005</v>
      </c>
      <c r="J81" s="7">
        <f t="shared" si="26"/>
        <v>356036.75</v>
      </c>
      <c r="K81" s="7">
        <f t="shared" si="26"/>
        <v>5021.5600000000004</v>
      </c>
      <c r="L81" s="7">
        <f t="shared" si="26"/>
        <v>44908</v>
      </c>
      <c r="M81" s="7">
        <f t="shared" si="26"/>
        <v>90541.5</v>
      </c>
      <c r="N81" s="7">
        <f t="shared" si="26"/>
        <v>25303.5</v>
      </c>
      <c r="O81" s="7">
        <f t="shared" si="26"/>
        <v>35857</v>
      </c>
      <c r="P81" s="7">
        <f t="shared" si="26"/>
        <v>694118.87</v>
      </c>
    </row>
    <row r="82" spans="1:18" s="3" customFormat="1" x14ac:dyDescent="0.25">
      <c r="A82" s="168">
        <v>2021</v>
      </c>
      <c r="B82" s="10" t="str">
        <f>IF(L!$A$1=1,L!B205,IF(L!$A$1=2,L!C205,L!D205))</f>
        <v>2021 Janar</v>
      </c>
      <c r="C82" s="6">
        <f>I82+J82+K82+L82+M82+N82+O82+P82</f>
        <v>128722</v>
      </c>
      <c r="D82" s="6" t="e">
        <f>E82+#REF!+#REF!</f>
        <v>#REF!</v>
      </c>
      <c r="E82" s="6" t="e">
        <f>F82+K82+#REF!</f>
        <v>#REF!</v>
      </c>
      <c r="F82" s="6">
        <f>SUM(G82:J82)</f>
        <v>85636.556960000002</v>
      </c>
      <c r="G82" s="6">
        <v>14207.96803</v>
      </c>
      <c r="H82" s="6">
        <v>14908.58893</v>
      </c>
      <c r="I82" s="6">
        <v>55136</v>
      </c>
      <c r="J82" s="6">
        <v>1384</v>
      </c>
      <c r="K82" s="5"/>
      <c r="L82" s="6">
        <v>3103</v>
      </c>
      <c r="M82" s="6">
        <v>9800</v>
      </c>
      <c r="N82" s="6">
        <v>2065</v>
      </c>
      <c r="O82" s="6">
        <v>721</v>
      </c>
      <c r="P82" s="6">
        <v>56513</v>
      </c>
    </row>
    <row r="83" spans="1:18" s="3" customFormat="1" x14ac:dyDescent="0.25">
      <c r="A83" s="168"/>
      <c r="B83" s="10" t="str">
        <f>IF(L!$A$1=1,L!B206,IF(L!$A$1=2,L!C206,L!D206))</f>
        <v>2021 Shkurt</v>
      </c>
      <c r="C83" s="6">
        <f t="shared" ref="C83:C93" si="27">I83+J83+K83+L83+M83+N83+O83+P83</f>
        <v>114759</v>
      </c>
      <c r="D83" s="6" t="e">
        <f>E83+#REF!+#REF!</f>
        <v>#REF!</v>
      </c>
      <c r="E83" s="6" t="e">
        <f>F83+K83+#REF!</f>
        <v>#REF!</v>
      </c>
      <c r="F83" s="6">
        <f t="shared" ref="F83:F86" si="28">SUM(G83:J83)</f>
        <v>57171.142690000001</v>
      </c>
      <c r="G83" s="6">
        <v>326.72095999999999</v>
      </c>
      <c r="H83" s="6">
        <v>8580.42173</v>
      </c>
      <c r="I83" s="6">
        <v>40670</v>
      </c>
      <c r="J83" s="6">
        <v>7594</v>
      </c>
      <c r="K83" s="5"/>
      <c r="L83" s="6">
        <v>4181</v>
      </c>
      <c r="M83" s="6">
        <v>8790</v>
      </c>
      <c r="N83" s="6">
        <v>3908</v>
      </c>
      <c r="O83" s="6">
        <v>3403</v>
      </c>
      <c r="P83" s="6">
        <v>46213</v>
      </c>
    </row>
    <row r="84" spans="1:18" s="3" customFormat="1" x14ac:dyDescent="0.25">
      <c r="A84" s="168"/>
      <c r="B84" s="10" t="str">
        <f>IF(L!$A$1=1,L!B207,IF(L!$A$1=2,L!C207,L!D207))</f>
        <v xml:space="preserve">2021 Mars </v>
      </c>
      <c r="C84" s="6">
        <f t="shared" si="27"/>
        <v>306301</v>
      </c>
      <c r="D84" s="6" t="e">
        <f>E84+#REF!+#REF!</f>
        <v>#REF!</v>
      </c>
      <c r="E84" s="6" t="e">
        <f>F84+K84+#REF!</f>
        <v>#REF!</v>
      </c>
      <c r="F84" s="6">
        <f t="shared" si="28"/>
        <v>207632.41905</v>
      </c>
      <c r="G84" s="6">
        <v>4315.2796500000004</v>
      </c>
      <c r="H84" s="6">
        <v>9753.1394</v>
      </c>
      <c r="I84" s="13">
        <v>107620</v>
      </c>
      <c r="J84" s="6">
        <v>85944</v>
      </c>
      <c r="K84" s="5">
        <v>10</v>
      </c>
      <c r="L84" s="6">
        <v>6211</v>
      </c>
      <c r="M84" s="6">
        <v>9340</v>
      </c>
      <c r="N84" s="6">
        <v>5595</v>
      </c>
      <c r="O84" s="6">
        <v>11064</v>
      </c>
      <c r="P84" s="6">
        <v>80517</v>
      </c>
    </row>
    <row r="85" spans="1:18" s="3" customFormat="1" x14ac:dyDescent="0.25">
      <c r="A85" s="168"/>
      <c r="B85" s="10" t="str">
        <f>IF(L!$A$1=1,L!B208,IF(L!$A$1=2,L!C208,L!D208))</f>
        <v>2021 Prill</v>
      </c>
      <c r="C85" s="6">
        <f t="shared" si="27"/>
        <v>185610</v>
      </c>
      <c r="D85" s="6" t="e">
        <f>E85+#REF!+#REF!</f>
        <v>#REF!</v>
      </c>
      <c r="E85" s="6" t="e">
        <f>F85+K85+#REF!</f>
        <v>#REF!</v>
      </c>
      <c r="F85" s="6">
        <f t="shared" si="28"/>
        <v>144312.18897000002</v>
      </c>
      <c r="G85" s="6">
        <v>17455.808850000001</v>
      </c>
      <c r="H85" s="6">
        <v>15820.380120000002</v>
      </c>
      <c r="I85" s="6">
        <v>92422</v>
      </c>
      <c r="J85" s="6">
        <v>18614</v>
      </c>
      <c r="K85" s="5">
        <v>1200</v>
      </c>
      <c r="L85" s="6">
        <v>3770</v>
      </c>
      <c r="M85" s="6">
        <v>5790</v>
      </c>
      <c r="N85" s="6">
        <v>3929</v>
      </c>
      <c r="O85" s="6">
        <v>3410</v>
      </c>
      <c r="P85" s="6">
        <v>56475</v>
      </c>
    </row>
    <row r="86" spans="1:18" s="3" customFormat="1" x14ac:dyDescent="0.25">
      <c r="A86" s="168"/>
      <c r="B86" s="10" t="str">
        <f>IF(L!$A$1=1,L!B209,IF(L!$A$1=2,L!C209,L!D209))</f>
        <v>2021 Maj</v>
      </c>
      <c r="C86" s="6">
        <f t="shared" si="27"/>
        <v>443261.43</v>
      </c>
      <c r="D86" s="6" t="e">
        <f>E86+#REF!+#REF!</f>
        <v>#REF!</v>
      </c>
      <c r="E86" s="6" t="e">
        <f>F86+K86+#REF!</f>
        <v>#REF!</v>
      </c>
      <c r="F86" s="6">
        <f t="shared" si="28"/>
        <v>90010.434399999998</v>
      </c>
      <c r="G86" s="6">
        <v>889.63575000000003</v>
      </c>
      <c r="H86" s="6">
        <v>9382.2986500000006</v>
      </c>
      <c r="I86" s="6">
        <v>73690.03</v>
      </c>
      <c r="J86" s="6">
        <v>6048.47</v>
      </c>
      <c r="K86" s="5"/>
      <c r="L86" s="6">
        <v>4522</v>
      </c>
      <c r="M86" s="6">
        <v>8560</v>
      </c>
      <c r="N86" s="13">
        <v>3159</v>
      </c>
      <c r="O86" s="6">
        <f>2268+750+1200</f>
        <v>4218</v>
      </c>
      <c r="P86" s="6">
        <v>343063.93</v>
      </c>
    </row>
    <row r="87" spans="1:18" s="3" customFormat="1" x14ac:dyDescent="0.25">
      <c r="A87" s="168"/>
      <c r="B87" s="10" t="str">
        <f>IF(L!$A$1=1,L!B210,IF(L!$A$1=2,L!C210,L!D210))</f>
        <v>2021 Qershor</v>
      </c>
      <c r="C87" s="6">
        <f t="shared" si="27"/>
        <v>175311.82</v>
      </c>
      <c r="D87" s="6" t="e">
        <f>E87+#REF!+#REF!</f>
        <v>#REF!</v>
      </c>
      <c r="E87" s="6" t="e">
        <f>F87+K87+#REF!</f>
        <v>#REF!</v>
      </c>
      <c r="F87" s="6">
        <f>SUM(G87:J87)</f>
        <v>90843.426980000004</v>
      </c>
      <c r="G87" s="6">
        <v>2601.3609299999998</v>
      </c>
      <c r="H87" s="6">
        <v>8699.9960500000016</v>
      </c>
      <c r="I87" s="6">
        <v>79542.070000000007</v>
      </c>
      <c r="J87" s="6"/>
      <c r="K87" s="5"/>
      <c r="L87" s="6">
        <v>6882</v>
      </c>
      <c r="M87" s="6">
        <v>14210</v>
      </c>
      <c r="N87" s="13">
        <v>3494</v>
      </c>
      <c r="O87" s="6">
        <f>2799+980+800</f>
        <v>4579</v>
      </c>
      <c r="P87" s="6">
        <v>66604.75</v>
      </c>
    </row>
    <row r="88" spans="1:18" s="3" customFormat="1" x14ac:dyDescent="0.25">
      <c r="A88" s="168"/>
      <c r="B88" s="10" t="str">
        <f>IF(L!$A$1=1,L!B211,IF(L!$A$1=2,L!C211,L!D211))</f>
        <v>2021 Korrik</v>
      </c>
      <c r="C88" s="6">
        <f t="shared" si="27"/>
        <v>221241.24</v>
      </c>
      <c r="D88" s="6" t="e">
        <f>E88+#REF!+#REF!</f>
        <v>#REF!</v>
      </c>
      <c r="E88" s="6" t="e">
        <f>F88+K88+#REF!</f>
        <v>#REF!</v>
      </c>
      <c r="F88" s="6">
        <f>SUM(G88:J88)</f>
        <v>151735.30445</v>
      </c>
      <c r="G88" s="6">
        <v>15748.313610000001</v>
      </c>
      <c r="H88" s="6">
        <v>15119.66084</v>
      </c>
      <c r="I88" s="6">
        <v>75192.23</v>
      </c>
      <c r="J88" s="6">
        <v>45675.1</v>
      </c>
      <c r="K88" s="5"/>
      <c r="L88" s="6">
        <v>8051</v>
      </c>
      <c r="M88" s="6">
        <v>13450</v>
      </c>
      <c r="N88" s="6">
        <v>4883</v>
      </c>
      <c r="O88" s="6">
        <f>734+180</f>
        <v>914</v>
      </c>
      <c r="P88" s="6">
        <v>73075.91</v>
      </c>
    </row>
    <row r="89" spans="1:18" s="3" customFormat="1" x14ac:dyDescent="0.25">
      <c r="A89" s="168"/>
      <c r="B89" s="10" t="str">
        <f>IF(L!$A$1=1,L!B212,IF(L!$A$1=2,L!C212,L!D212))</f>
        <v>2021 Gusht</v>
      </c>
      <c r="C89" s="6">
        <f t="shared" si="27"/>
        <v>552637.02</v>
      </c>
      <c r="D89" s="6" t="e">
        <f>E89+#REF!+#REF!</f>
        <v>#REF!</v>
      </c>
      <c r="E89" s="6" t="e">
        <f>F89+K89+#REF!</f>
        <v>#REF!</v>
      </c>
      <c r="F89" s="6">
        <f>SUM(G89:J89)</f>
        <v>373455.88757999998</v>
      </c>
      <c r="G89" s="6">
        <v>1608.6910700000001</v>
      </c>
      <c r="H89" s="6">
        <v>10001.44651</v>
      </c>
      <c r="I89" s="6">
        <v>119123.36</v>
      </c>
      <c r="J89" s="6">
        <v>242722.39</v>
      </c>
      <c r="K89" s="5"/>
      <c r="L89" s="6">
        <v>9981</v>
      </c>
      <c r="M89" s="6">
        <v>13880.5</v>
      </c>
      <c r="N89" s="6">
        <v>8505.5</v>
      </c>
      <c r="O89" s="6">
        <f>873+2040+1275</f>
        <v>4188</v>
      </c>
      <c r="P89" s="6">
        <v>154236.26999999999</v>
      </c>
    </row>
    <row r="90" spans="1:18" s="3" customFormat="1" x14ac:dyDescent="0.25">
      <c r="A90" s="168"/>
      <c r="B90" s="10" t="str">
        <f>IF(L!$A$1=1,L!B213,IF(L!$A$1=2,L!C213,L!D213))</f>
        <v>2021 Shtator</v>
      </c>
      <c r="C90" s="6">
        <f t="shared" si="27"/>
        <v>246813.78999999998</v>
      </c>
      <c r="D90" s="6"/>
      <c r="E90" s="6"/>
      <c r="F90" s="6"/>
      <c r="G90" s="6"/>
      <c r="H90" s="6"/>
      <c r="I90" s="6">
        <v>98576.97</v>
      </c>
      <c r="J90" s="6">
        <v>24462.34</v>
      </c>
      <c r="K90" s="6"/>
      <c r="L90" s="6">
        <v>8417</v>
      </c>
      <c r="M90" s="6">
        <v>11870</v>
      </c>
      <c r="N90" s="6">
        <v>4651</v>
      </c>
      <c r="O90" s="6">
        <v>1755</v>
      </c>
      <c r="P90" s="6">
        <v>97081.48</v>
      </c>
    </row>
    <row r="91" spans="1:18" s="3" customFormat="1" x14ac:dyDescent="0.25">
      <c r="A91" s="168"/>
      <c r="B91" s="10" t="str">
        <f>IF(L!$A$1=1,L!B214,IF(L!$A$1=2,L!C214,L!D214))</f>
        <v>2021 Tetor</v>
      </c>
      <c r="C91" s="6">
        <f t="shared" si="27"/>
        <v>186716</v>
      </c>
      <c r="D91" s="6"/>
      <c r="E91" s="6"/>
      <c r="F91" s="6"/>
      <c r="G91" s="6"/>
      <c r="H91" s="6"/>
      <c r="I91" s="6">
        <v>63221</v>
      </c>
      <c r="J91" s="6">
        <v>1620</v>
      </c>
      <c r="K91" s="6">
        <v>13163</v>
      </c>
      <c r="L91" s="6">
        <v>7245</v>
      </c>
      <c r="M91" s="6">
        <v>10240</v>
      </c>
      <c r="N91" s="6">
        <v>5591</v>
      </c>
      <c r="O91" s="6">
        <v>10082</v>
      </c>
      <c r="P91" s="6">
        <v>75554</v>
      </c>
    </row>
    <row r="92" spans="1:18" s="3" customFormat="1" x14ac:dyDescent="0.25">
      <c r="A92" s="168"/>
      <c r="B92" s="10" t="str">
        <f>IF(L!$A$1=1,L!B215,IF(L!$A$1=2,L!C215,L!D215))</f>
        <v xml:space="preserve">2021 Nëntor </v>
      </c>
      <c r="C92" s="6">
        <f t="shared" si="27"/>
        <v>185998</v>
      </c>
      <c r="D92" s="6"/>
      <c r="E92" s="6"/>
      <c r="F92" s="6"/>
      <c r="G92" s="6"/>
      <c r="H92" s="6"/>
      <c r="I92" s="6">
        <v>30145</v>
      </c>
      <c r="J92" s="6">
        <v>39205</v>
      </c>
      <c r="K92" s="6"/>
      <c r="L92" s="6">
        <v>6555</v>
      </c>
      <c r="M92" s="6">
        <v>12270</v>
      </c>
      <c r="N92" s="6">
        <v>4506</v>
      </c>
      <c r="O92" s="6">
        <v>10034</v>
      </c>
      <c r="P92" s="6">
        <v>83283</v>
      </c>
    </row>
    <row r="93" spans="1:18" s="3" customFormat="1" x14ac:dyDescent="0.25">
      <c r="A93" s="168"/>
      <c r="B93" s="10" t="str">
        <f>IF(L!$A$1=1,L!B216,IF(L!$A$1=2,L!C216,L!D216))</f>
        <v>2021 Dhjetor</v>
      </c>
      <c r="C93" s="6">
        <f t="shared" si="27"/>
        <v>262725</v>
      </c>
      <c r="D93" s="6"/>
      <c r="E93" s="6"/>
      <c r="F93" s="6"/>
      <c r="G93" s="6"/>
      <c r="H93" s="6"/>
      <c r="I93" s="6">
        <v>60110</v>
      </c>
      <c r="J93" s="6">
        <v>59909</v>
      </c>
      <c r="K93" s="6"/>
      <c r="L93" s="6">
        <v>6293</v>
      </c>
      <c r="M93" s="6">
        <v>12510</v>
      </c>
      <c r="N93" s="6">
        <v>8409</v>
      </c>
      <c r="O93" s="6">
        <v>7521</v>
      </c>
      <c r="P93" s="6">
        <v>107973</v>
      </c>
    </row>
    <row r="94" spans="1:18" s="3" customFormat="1" x14ac:dyDescent="0.25">
      <c r="A94" s="168"/>
      <c r="B94" s="11" t="str">
        <f>IF(L!$A$1=1,L!B217,IF(L!$A$1=2,L!C217,L!D217))</f>
        <v>Gjithsej 2021</v>
      </c>
      <c r="C94" s="12">
        <f>SUM(C82:C93)</f>
        <v>3010096.3</v>
      </c>
      <c r="D94" s="12" t="e">
        <f>E94+#REF!+#REF!</f>
        <v>#REF!</v>
      </c>
      <c r="E94" s="12" t="e">
        <f>F94+K94+#REF!</f>
        <v>#REF!</v>
      </c>
      <c r="F94" s="12">
        <f>SUM(G94:J94)</f>
        <v>1578046.67108</v>
      </c>
      <c r="G94" s="7">
        <f t="shared" ref="G94:P94" si="29">SUM(G82:G93)</f>
        <v>57153.778850000002</v>
      </c>
      <c r="H94" s="7">
        <f t="shared" si="29"/>
        <v>92265.932229999991</v>
      </c>
      <c r="I94" s="7">
        <f t="shared" si="29"/>
        <v>895448.66</v>
      </c>
      <c r="J94" s="7">
        <f t="shared" si="29"/>
        <v>533178.30000000005</v>
      </c>
      <c r="K94" s="7">
        <f t="shared" si="29"/>
        <v>14373</v>
      </c>
      <c r="L94" s="7">
        <f t="shared" si="29"/>
        <v>75211</v>
      </c>
      <c r="M94" s="7">
        <f t="shared" si="29"/>
        <v>130710.5</v>
      </c>
      <c r="N94" s="7">
        <f t="shared" si="29"/>
        <v>58695.5</v>
      </c>
      <c r="O94" s="7">
        <f t="shared" si="29"/>
        <v>61889</v>
      </c>
      <c r="P94" s="7">
        <f t="shared" si="29"/>
        <v>1240590.3399999999</v>
      </c>
    </row>
    <row r="95" spans="1:18" s="3" customFormat="1" x14ac:dyDescent="0.25">
      <c r="A95" s="160">
        <v>2022</v>
      </c>
      <c r="B95" s="10" t="str">
        <f>IF(L!$A$1=1,L!B218,IF(L!$A$1=2,L!C218,L!D218))</f>
        <v>2022 Janar</v>
      </c>
      <c r="C95" s="6">
        <f>I95+J95+K95+L95+M95+N95+O95+P95</f>
        <v>163487.6</v>
      </c>
      <c r="D95" s="6" t="e">
        <f>E95+#REF!+#REF!</f>
        <v>#REF!</v>
      </c>
      <c r="E95" s="6" t="e">
        <f>F95+K95+#REF!</f>
        <v>#REF!</v>
      </c>
      <c r="F95" s="6">
        <f>SUM(G95:J95)</f>
        <v>108604.15695999999</v>
      </c>
      <c r="G95" s="6">
        <v>14207.96803</v>
      </c>
      <c r="H95" s="6">
        <v>14908.58893</v>
      </c>
      <c r="I95" s="6">
        <v>48731.81</v>
      </c>
      <c r="J95" s="6">
        <v>30755.79</v>
      </c>
      <c r="K95" s="5"/>
      <c r="L95" s="6">
        <f>4809+139</f>
        <v>4948</v>
      </c>
      <c r="M95" s="6">
        <v>9960</v>
      </c>
      <c r="N95" s="6">
        <v>2369</v>
      </c>
      <c r="O95" s="6">
        <v>6713</v>
      </c>
      <c r="P95" s="6">
        <v>60010</v>
      </c>
      <c r="R95" s="139"/>
    </row>
    <row r="96" spans="1:18" s="3" customFormat="1" x14ac:dyDescent="0.25">
      <c r="A96" s="161"/>
      <c r="B96" s="10" t="str">
        <f>IF(L!$A$1=1,L!B219,IF(L!$A$1=2,L!C219,L!D219))</f>
        <v>2022 Shkurt</v>
      </c>
      <c r="C96" s="6">
        <f t="shared" ref="C96:C106" si="30">I96+J96+K96+L96+M96+N96+O96+P96</f>
        <v>281664.57</v>
      </c>
      <c r="D96" s="6" t="e">
        <f>E96+#REF!+#REF!</f>
        <v>#REF!</v>
      </c>
      <c r="E96" s="6" t="e">
        <f>F96+K96+#REF!</f>
        <v>#REF!</v>
      </c>
      <c r="F96" s="6">
        <f t="shared" ref="F96:F99" si="31">SUM(G96:J96)</f>
        <v>190772.21269000001</v>
      </c>
      <c r="G96" s="6">
        <v>326.72095999999999</v>
      </c>
      <c r="H96" s="6">
        <v>8580.42173</v>
      </c>
      <c r="I96" s="6">
        <v>56720.56</v>
      </c>
      <c r="J96" s="6">
        <v>125144.51</v>
      </c>
      <c r="K96" s="5"/>
      <c r="L96" s="6">
        <f>5889+431</f>
        <v>6320</v>
      </c>
      <c r="M96" s="6">
        <v>9780.5</v>
      </c>
      <c r="N96" s="6">
        <v>5343</v>
      </c>
      <c r="O96" s="6">
        <v>2784</v>
      </c>
      <c r="P96" s="6">
        <v>75572</v>
      </c>
      <c r="R96" s="139"/>
    </row>
    <row r="97" spans="1:20" s="3" customFormat="1" x14ac:dyDescent="0.25">
      <c r="A97" s="161"/>
      <c r="B97" s="10" t="str">
        <f>IF(L!$A$1=1,L!B220,IF(L!$A$1=2,L!C220,L!D220))</f>
        <v xml:space="preserve">2022 Mars </v>
      </c>
      <c r="C97" s="6">
        <f t="shared" si="30"/>
        <v>244196.57</v>
      </c>
      <c r="D97" s="6" t="e">
        <f>E97+#REF!+#REF!</f>
        <v>#REF!</v>
      </c>
      <c r="E97" s="6" t="e">
        <f>F97+K97+#REF!</f>
        <v>#REF!</v>
      </c>
      <c r="F97" s="6">
        <f t="shared" si="31"/>
        <v>135027.28904999999</v>
      </c>
      <c r="G97" s="6">
        <v>4315.2796500000004</v>
      </c>
      <c r="H97" s="6">
        <v>9753.1394</v>
      </c>
      <c r="I97" s="13">
        <v>95401.97</v>
      </c>
      <c r="J97" s="6">
        <v>25556.9</v>
      </c>
      <c r="K97" s="5">
        <v>3984.2</v>
      </c>
      <c r="L97" s="6">
        <f>5707+494</f>
        <v>6201</v>
      </c>
      <c r="M97" s="6">
        <v>10510</v>
      </c>
      <c r="N97" s="6">
        <v>3515.5</v>
      </c>
      <c r="O97" s="6">
        <v>12626</v>
      </c>
      <c r="P97" s="6">
        <v>86401</v>
      </c>
      <c r="R97" s="139"/>
    </row>
    <row r="98" spans="1:20" s="3" customFormat="1" x14ac:dyDescent="0.25">
      <c r="A98" s="161"/>
      <c r="B98" s="10" t="str">
        <f>IF(L!$A$1=1,L!B221,IF(L!$A$1=2,L!C221,L!D221))</f>
        <v>2022 Prill</v>
      </c>
      <c r="C98" s="6">
        <f t="shared" si="30"/>
        <v>234688.24</v>
      </c>
      <c r="D98" s="6" t="e">
        <f>E98+#REF!+#REF!</f>
        <v>#REF!</v>
      </c>
      <c r="E98" s="6" t="e">
        <f>F98+K98+#REF!</f>
        <v>#REF!</v>
      </c>
      <c r="F98" s="6">
        <f t="shared" si="31"/>
        <v>162698.92897000001</v>
      </c>
      <c r="G98" s="6">
        <v>17455.808850000001</v>
      </c>
      <c r="H98" s="6">
        <v>15820.380120000002</v>
      </c>
      <c r="I98" s="6">
        <v>104514.48</v>
      </c>
      <c r="J98" s="6">
        <v>24908.26</v>
      </c>
      <c r="K98" s="5"/>
      <c r="L98" s="6">
        <f>4697+176</f>
        <v>4873</v>
      </c>
      <c r="M98" s="6">
        <v>7300</v>
      </c>
      <c r="N98" s="6">
        <v>2131.5</v>
      </c>
      <c r="O98" s="6">
        <v>6433</v>
      </c>
      <c r="P98" s="6">
        <v>84528</v>
      </c>
      <c r="R98" s="139"/>
    </row>
    <row r="99" spans="1:20" s="3" customFormat="1" x14ac:dyDescent="0.25">
      <c r="A99" s="161"/>
      <c r="B99" s="10" t="str">
        <f>IF(L!$A$1=1,L!B222,IF(L!$A$1=2,L!C222,L!D222))</f>
        <v>2022 Maj</v>
      </c>
      <c r="C99" s="6">
        <f t="shared" si="30"/>
        <v>220618.78</v>
      </c>
      <c r="D99" s="6" t="e">
        <f>E99+#REF!+#REF!</f>
        <v>#REF!</v>
      </c>
      <c r="E99" s="6" t="e">
        <f>F99+K99+#REF!</f>
        <v>#REF!</v>
      </c>
      <c r="F99" s="6">
        <f t="shared" si="31"/>
        <v>143709.7144</v>
      </c>
      <c r="G99" s="6">
        <v>889.63575000000003</v>
      </c>
      <c r="H99" s="6">
        <v>9382.2986500000006</v>
      </c>
      <c r="I99" s="6">
        <v>81556.77</v>
      </c>
      <c r="J99" s="6">
        <v>51881.01</v>
      </c>
      <c r="K99" s="5"/>
      <c r="L99" s="6">
        <f>5718+222</f>
        <v>5940</v>
      </c>
      <c r="M99" s="6">
        <v>9290</v>
      </c>
      <c r="N99" s="13">
        <v>3771</v>
      </c>
      <c r="O99" s="6">
        <v>6536</v>
      </c>
      <c r="P99" s="6">
        <v>61644</v>
      </c>
      <c r="R99" s="139"/>
    </row>
    <row r="100" spans="1:20" s="3" customFormat="1" x14ac:dyDescent="0.25">
      <c r="A100" s="161"/>
      <c r="B100" s="10" t="str">
        <f>IF(L!$A$1=1,L!B223,IF(L!$A$1=2,L!C223,L!D223))</f>
        <v>2022 Qershor</v>
      </c>
      <c r="C100" s="6">
        <f t="shared" si="30"/>
        <v>183569.47</v>
      </c>
      <c r="D100" s="6" t="e">
        <f>E100+#REF!+#REF!</f>
        <v>#REF!</v>
      </c>
      <c r="E100" s="6" t="e">
        <f>F100+K100+#REF!</f>
        <v>#REF!</v>
      </c>
      <c r="F100" s="6">
        <f>SUM(G100:J100)</f>
        <v>120443.32698000001</v>
      </c>
      <c r="G100" s="6">
        <v>2601.3609299999998</v>
      </c>
      <c r="H100" s="6">
        <v>8699.9960500000016</v>
      </c>
      <c r="I100" s="6">
        <v>74837.320000000007</v>
      </c>
      <c r="J100" s="6">
        <v>34304.65</v>
      </c>
      <c r="K100" s="5">
        <v>1188</v>
      </c>
      <c r="L100" s="6">
        <f>6337+279</f>
        <v>6616</v>
      </c>
      <c r="M100" s="6">
        <v>13750</v>
      </c>
      <c r="N100" s="13">
        <v>4110.5</v>
      </c>
      <c r="O100" s="6">
        <v>4780</v>
      </c>
      <c r="P100" s="6">
        <v>43983</v>
      </c>
      <c r="R100" s="139"/>
    </row>
    <row r="101" spans="1:20" s="3" customFormat="1" x14ac:dyDescent="0.25">
      <c r="A101" s="161"/>
      <c r="B101" s="10" t="str">
        <f>IF(L!$A$1=1,L!B224,IF(L!$A$1=2,L!C224,L!D224))</f>
        <v>2022 Korrik</v>
      </c>
      <c r="C101" s="6">
        <f t="shared" si="30"/>
        <v>199991.93</v>
      </c>
      <c r="D101" s="6" t="e">
        <f>E101+#REF!+#REF!</f>
        <v>#REF!</v>
      </c>
      <c r="E101" s="6" t="e">
        <f>F101+K101+#REF!</f>
        <v>#REF!</v>
      </c>
      <c r="F101" s="6">
        <f>SUM(G101:J101)</f>
        <v>156365.90445</v>
      </c>
      <c r="G101" s="6">
        <v>15748.313610000001</v>
      </c>
      <c r="H101" s="6">
        <v>15119.66084</v>
      </c>
      <c r="I101" s="6">
        <v>86608.72</v>
      </c>
      <c r="J101" s="6">
        <v>38889.21</v>
      </c>
      <c r="K101" s="5">
        <v>332</v>
      </c>
      <c r="L101" s="6">
        <f>7235+479</f>
        <v>7714</v>
      </c>
      <c r="M101" s="6">
        <v>13420</v>
      </c>
      <c r="N101" s="6">
        <v>4600</v>
      </c>
      <c r="O101" s="6">
        <v>1320</v>
      </c>
      <c r="P101" s="6">
        <v>47108</v>
      </c>
      <c r="R101" s="139"/>
    </row>
    <row r="102" spans="1:20" s="3" customFormat="1" x14ac:dyDescent="0.25">
      <c r="A102" s="161"/>
      <c r="B102" s="10" t="str">
        <f>IF(L!$A$1=1,L!B225,IF(L!$A$1=2,L!C225,L!D225))</f>
        <v>2022 Gusht</v>
      </c>
      <c r="C102" s="6">
        <f t="shared" si="30"/>
        <v>273429.49</v>
      </c>
      <c r="D102" s="6" t="e">
        <f>E102+#REF!+#REF!</f>
        <v>#REF!</v>
      </c>
      <c r="E102" s="6" t="e">
        <f>F102+K102+#REF!</f>
        <v>#REF!</v>
      </c>
      <c r="F102" s="6">
        <f>SUM(G102:J102)</f>
        <v>184373.62758</v>
      </c>
      <c r="G102" s="6">
        <v>1608.6910700000001</v>
      </c>
      <c r="H102" s="6">
        <v>10001.44651</v>
      </c>
      <c r="I102" s="6">
        <v>107065.21</v>
      </c>
      <c r="J102" s="6">
        <v>65698.28</v>
      </c>
      <c r="K102" s="5">
        <v>140</v>
      </c>
      <c r="L102" s="6">
        <f>8389+638</f>
        <v>9027</v>
      </c>
      <c r="M102" s="6">
        <v>1460.5</v>
      </c>
      <c r="N102" s="6">
        <v>5976.5</v>
      </c>
      <c r="O102" s="6">
        <v>4120</v>
      </c>
      <c r="P102" s="6">
        <v>79942</v>
      </c>
      <c r="Q102" s="138"/>
      <c r="R102" s="139"/>
    </row>
    <row r="103" spans="1:20" s="3" customFormat="1" x14ac:dyDescent="0.25">
      <c r="A103" s="161"/>
      <c r="B103" s="10" t="str">
        <f>IF(L!$A$1=1,L!B226,IF(L!$A$1=2,L!C226,L!D226))</f>
        <v>2022 Shtator</v>
      </c>
      <c r="C103" s="6">
        <f t="shared" si="30"/>
        <v>174465.81</v>
      </c>
      <c r="D103" s="6"/>
      <c r="E103" s="6"/>
      <c r="F103" s="6"/>
      <c r="G103" s="6"/>
      <c r="H103" s="6"/>
      <c r="I103" s="6">
        <v>64398.29</v>
      </c>
      <c r="J103" s="6">
        <v>68318.02</v>
      </c>
      <c r="K103" s="6">
        <v>1114</v>
      </c>
      <c r="L103" s="6">
        <f>5535+179</f>
        <v>5714</v>
      </c>
      <c r="M103" s="6">
        <v>12070</v>
      </c>
      <c r="N103" s="6">
        <v>4646.5</v>
      </c>
      <c r="O103" s="6">
        <v>1003</v>
      </c>
      <c r="P103" s="6">
        <v>17202</v>
      </c>
      <c r="R103" s="139"/>
    </row>
    <row r="104" spans="1:20" s="3" customFormat="1" x14ac:dyDescent="0.25">
      <c r="A104" s="161"/>
      <c r="B104" s="10" t="str">
        <f>IF(L!$A$1=1,L!B227,IF(L!$A$1=2,L!C227,L!D227))</f>
        <v>2022 Tetor</v>
      </c>
      <c r="C104" s="6">
        <f t="shared" si="30"/>
        <v>169464.16</v>
      </c>
      <c r="D104" s="6"/>
      <c r="E104" s="6"/>
      <c r="F104" s="6"/>
      <c r="G104" s="6"/>
      <c r="H104" s="6"/>
      <c r="I104" s="6">
        <v>80131.25</v>
      </c>
      <c r="J104" s="6">
        <v>1583.81</v>
      </c>
      <c r="K104" s="6"/>
      <c r="L104" s="6">
        <f>6167+523</f>
        <v>6690</v>
      </c>
      <c r="M104" s="6">
        <v>11381</v>
      </c>
      <c r="N104" s="6">
        <v>3335.5</v>
      </c>
      <c r="O104" s="6">
        <v>12229.6</v>
      </c>
      <c r="P104" s="6">
        <v>54113</v>
      </c>
      <c r="R104" s="139"/>
    </row>
    <row r="105" spans="1:20" s="3" customFormat="1" x14ac:dyDescent="0.25">
      <c r="A105" s="161"/>
      <c r="B105" s="10" t="str">
        <f>IF(L!$A$1=1,L!B228,IF(L!$A$1=2,L!C228,L!D228))</f>
        <v xml:space="preserve">2022 Nëntor </v>
      </c>
      <c r="C105" s="6">
        <f t="shared" si="30"/>
        <v>177801.78</v>
      </c>
      <c r="D105" s="6"/>
      <c r="E105" s="6"/>
      <c r="F105" s="6"/>
      <c r="G105" s="6"/>
      <c r="H105" s="6"/>
      <c r="I105" s="6">
        <v>65329.51</v>
      </c>
      <c r="J105" s="6">
        <v>13171.3</v>
      </c>
      <c r="K105" s="6">
        <v>199</v>
      </c>
      <c r="L105" s="6">
        <f>5676+228</f>
        <v>5904</v>
      </c>
      <c r="M105" s="6">
        <v>11970</v>
      </c>
      <c r="N105" s="6">
        <v>5573</v>
      </c>
      <c r="O105" s="6">
        <f>6570+1450+800</f>
        <v>8820</v>
      </c>
      <c r="P105" s="6">
        <v>66834.97</v>
      </c>
    </row>
    <row r="106" spans="1:20" s="3" customFormat="1" x14ac:dyDescent="0.25">
      <c r="A106" s="161"/>
      <c r="B106" s="10" t="str">
        <f>IF(L!$A$1=1,L!B229,IF(L!$A$1=2,L!C229,L!D229))</f>
        <v>2022 Dhjetor</v>
      </c>
      <c r="C106" s="6">
        <f t="shared" si="30"/>
        <v>246445.24</v>
      </c>
      <c r="D106" s="6"/>
      <c r="E106" s="6"/>
      <c r="F106" s="6"/>
      <c r="G106" s="6"/>
      <c r="H106" s="6"/>
      <c r="I106" s="6">
        <v>104326.74</v>
      </c>
      <c r="J106" s="6">
        <v>28612</v>
      </c>
      <c r="K106" s="6">
        <v>3005</v>
      </c>
      <c r="L106" s="6">
        <f>6095+236</f>
        <v>6331</v>
      </c>
      <c r="M106" s="6">
        <v>12370</v>
      </c>
      <c r="N106" s="6">
        <v>6388.5</v>
      </c>
      <c r="O106" s="6">
        <f>6702+230+160</f>
        <v>7092</v>
      </c>
      <c r="P106" s="6">
        <v>78320</v>
      </c>
    </row>
    <row r="107" spans="1:20" s="3" customFormat="1" x14ac:dyDescent="0.25">
      <c r="A107" s="161"/>
      <c r="B107" s="11" t="str">
        <f>IF(L!$A$1=1,L!B230,IF(L!$A$1=2,L!C230,L!D230))</f>
        <v>Gjithsej 2022</v>
      </c>
      <c r="C107" s="12">
        <f>SUM(C95:C106)</f>
        <v>2569823.6399999997</v>
      </c>
      <c r="D107" s="12" t="e">
        <f>E107+#REF!+#REF!</f>
        <v>#REF!</v>
      </c>
      <c r="E107" s="12" t="e">
        <f>F107+K107+#REF!</f>
        <v>#REF!</v>
      </c>
      <c r="F107" s="12">
        <f>SUM(G107:J107)</f>
        <v>1627866.0810799999</v>
      </c>
      <c r="G107" s="7">
        <f t="shared" ref="G107:P107" si="32">SUM(G95:G106)</f>
        <v>57153.778850000002</v>
      </c>
      <c r="H107" s="7">
        <f t="shared" si="32"/>
        <v>92265.932229999991</v>
      </c>
      <c r="I107" s="7">
        <f t="shared" si="32"/>
        <v>969622.63</v>
      </c>
      <c r="J107" s="7">
        <f t="shared" si="32"/>
        <v>508823.74</v>
      </c>
      <c r="K107" s="7">
        <f t="shared" si="32"/>
        <v>9962.2000000000007</v>
      </c>
      <c r="L107" s="7">
        <f t="shared" si="32"/>
        <v>76278</v>
      </c>
      <c r="M107" s="7">
        <f t="shared" si="32"/>
        <v>123262</v>
      </c>
      <c r="N107" s="7">
        <f t="shared" si="32"/>
        <v>51760.5</v>
      </c>
      <c r="O107" s="7">
        <f t="shared" si="32"/>
        <v>74456.600000000006</v>
      </c>
      <c r="P107" s="7">
        <f t="shared" si="32"/>
        <v>755657.97</v>
      </c>
    </row>
    <row r="108" spans="1:20" s="3" customFormat="1" x14ac:dyDescent="0.25">
      <c r="A108" s="161">
        <v>2023</v>
      </c>
      <c r="B108" s="10" t="str">
        <f>IF(L!$A$1=1,L!B231,IF(L!$A$1=2,L!C231,L!D231))</f>
        <v>2023 Janar</v>
      </c>
      <c r="C108" s="6">
        <f>I108+J108+K108+L108+M108+N108+O108+P108</f>
        <v>172800.27000000002</v>
      </c>
      <c r="D108" s="6"/>
      <c r="E108" s="6"/>
      <c r="F108" s="6"/>
      <c r="G108" s="6"/>
      <c r="H108" s="6"/>
      <c r="I108" s="6">
        <v>88411.11</v>
      </c>
      <c r="J108" s="6">
        <v>10604.75</v>
      </c>
      <c r="K108" s="5">
        <v>96</v>
      </c>
      <c r="L108" s="6">
        <v>6431</v>
      </c>
      <c r="M108" s="6">
        <v>11461</v>
      </c>
      <c r="N108" s="6">
        <v>3373.5</v>
      </c>
      <c r="O108" s="6">
        <v>6529</v>
      </c>
      <c r="P108" s="6">
        <v>45893.91</v>
      </c>
      <c r="R108" s="141"/>
      <c r="S108" s="141"/>
      <c r="T108" s="141"/>
    </row>
    <row r="109" spans="1:20" s="3" customFormat="1" x14ac:dyDescent="0.25">
      <c r="A109" s="161"/>
      <c r="B109" s="10" t="str">
        <f>IF(L!$A$1=1,L!B232,IF(L!$A$1=2,L!C232,L!D232))</f>
        <v>2023 Shkurt</v>
      </c>
      <c r="C109" s="6">
        <f t="shared" ref="C109:C119" si="33">I109+J109+K109+L109+M109+N109+O109+P109</f>
        <v>218284.81</v>
      </c>
      <c r="D109" s="6"/>
      <c r="E109" s="6"/>
      <c r="F109" s="6"/>
      <c r="G109" s="6"/>
      <c r="H109" s="6"/>
      <c r="I109" s="6">
        <v>64656</v>
      </c>
      <c r="J109" s="6">
        <v>55144.85</v>
      </c>
      <c r="K109" s="5">
        <v>36</v>
      </c>
      <c r="L109" s="6">
        <v>5734</v>
      </c>
      <c r="M109" s="6">
        <v>10805</v>
      </c>
      <c r="N109" s="6">
        <v>4411.5</v>
      </c>
      <c r="O109" s="6">
        <v>8146</v>
      </c>
      <c r="P109" s="6">
        <v>69351.460000000006</v>
      </c>
      <c r="R109" s="141"/>
      <c r="S109" s="141"/>
      <c r="T109" s="141"/>
    </row>
    <row r="110" spans="1:20" s="3" customFormat="1" x14ac:dyDescent="0.25">
      <c r="A110" s="161"/>
      <c r="B110" s="10" t="str">
        <f>IF(L!$A$1=1,L!B233,IF(L!$A$1=2,L!C233,L!D233))</f>
        <v xml:space="preserve">2023 Mars </v>
      </c>
      <c r="C110" s="6">
        <f t="shared" si="33"/>
        <v>265532.63</v>
      </c>
      <c r="D110" s="6"/>
      <c r="E110" s="6"/>
      <c r="F110" s="6"/>
      <c r="G110" s="6"/>
      <c r="H110" s="6"/>
      <c r="I110" s="13">
        <v>117756.94</v>
      </c>
      <c r="J110" s="6">
        <v>245.28</v>
      </c>
      <c r="K110" s="5">
        <v>108</v>
      </c>
      <c r="L110" s="6">
        <v>5824</v>
      </c>
      <c r="M110" s="6">
        <v>12210</v>
      </c>
      <c r="N110" s="6">
        <v>5126.55</v>
      </c>
      <c r="O110" s="6">
        <v>14916</v>
      </c>
      <c r="P110" s="6">
        <v>109345.86</v>
      </c>
      <c r="R110" s="141"/>
      <c r="S110" s="141"/>
      <c r="T110" s="141"/>
    </row>
    <row r="111" spans="1:20" s="3" customFormat="1" x14ac:dyDescent="0.25">
      <c r="A111" s="161"/>
      <c r="B111" s="10" t="str">
        <f>IF(L!$A$1=1,L!B234,IF(L!$A$1=2,L!C234,L!D234))</f>
        <v>2023 Prill</v>
      </c>
      <c r="C111" s="6">
        <f t="shared" si="33"/>
        <v>294911.73</v>
      </c>
      <c r="D111" s="6"/>
      <c r="E111" s="6"/>
      <c r="F111" s="6"/>
      <c r="G111" s="6"/>
      <c r="H111" s="6"/>
      <c r="I111" s="6">
        <v>170449.47</v>
      </c>
      <c r="J111" s="6">
        <v>7349.83</v>
      </c>
      <c r="K111" s="5">
        <v>50</v>
      </c>
      <c r="L111" s="6">
        <v>4216</v>
      </c>
      <c r="M111" s="6">
        <v>8790</v>
      </c>
      <c r="N111" s="6">
        <v>1958</v>
      </c>
      <c r="O111" s="6">
        <v>7060</v>
      </c>
      <c r="P111" s="6">
        <v>95038.43</v>
      </c>
      <c r="R111" s="141"/>
      <c r="S111" s="141"/>
      <c r="T111" s="141"/>
    </row>
    <row r="112" spans="1:20" s="3" customFormat="1" x14ac:dyDescent="0.25">
      <c r="A112" s="161"/>
      <c r="B112" s="10" t="str">
        <f>IF(L!$A$1=1,L!B235,IF(L!$A$1=2,L!C235,L!D235))</f>
        <v>2023 Maj</v>
      </c>
      <c r="C112" s="6">
        <f t="shared" si="33"/>
        <v>548817.46</v>
      </c>
      <c r="D112" s="6"/>
      <c r="E112" s="6"/>
      <c r="F112" s="6"/>
      <c r="G112" s="6"/>
      <c r="H112" s="6"/>
      <c r="I112" s="6">
        <v>295360.21000000002</v>
      </c>
      <c r="J112" s="6">
        <v>113724.91</v>
      </c>
      <c r="K112" s="5">
        <v>180</v>
      </c>
      <c r="L112" s="6">
        <v>5942</v>
      </c>
      <c r="M112" s="6">
        <v>10890</v>
      </c>
      <c r="N112" s="13">
        <v>4752</v>
      </c>
      <c r="O112" s="6">
        <v>8735</v>
      </c>
      <c r="P112" s="6">
        <v>109233.34</v>
      </c>
      <c r="R112" s="141"/>
      <c r="S112" s="141"/>
      <c r="T112" s="141"/>
    </row>
    <row r="113" spans="1:20" s="3" customFormat="1" x14ac:dyDescent="0.25">
      <c r="A113" s="161"/>
      <c r="B113" s="10" t="str">
        <f>IF(L!$A$1=1,L!B236,IF(L!$A$1=2,L!C236,L!D236))</f>
        <v>2023 Qershor</v>
      </c>
      <c r="C113" s="6">
        <f t="shared" si="33"/>
        <v>224735.37</v>
      </c>
      <c r="D113" s="6"/>
      <c r="E113" s="6"/>
      <c r="F113" s="6"/>
      <c r="G113" s="6"/>
      <c r="H113" s="6"/>
      <c r="I113" s="6">
        <v>67624.81</v>
      </c>
      <c r="J113" s="6">
        <v>71629.070000000007</v>
      </c>
      <c r="K113" s="5">
        <v>150</v>
      </c>
      <c r="L113" s="6">
        <v>5302</v>
      </c>
      <c r="M113" s="6">
        <v>13295.5</v>
      </c>
      <c r="N113" s="13">
        <v>3075.68</v>
      </c>
      <c r="O113" s="6">
        <v>10228</v>
      </c>
      <c r="P113" s="6">
        <v>53430.31</v>
      </c>
      <c r="R113" s="141"/>
      <c r="S113" s="141"/>
      <c r="T113" s="141"/>
    </row>
    <row r="114" spans="1:20" s="3" customFormat="1" x14ac:dyDescent="0.25">
      <c r="A114" s="161"/>
      <c r="B114" s="10" t="str">
        <f>IF(L!$A$1=1,L!B237,IF(L!$A$1=2,L!C237,L!D237))</f>
        <v>2023 Korrik</v>
      </c>
      <c r="C114" s="6">
        <f t="shared" si="33"/>
        <v>199855.35999999999</v>
      </c>
      <c r="D114" s="6"/>
      <c r="E114" s="6"/>
      <c r="F114" s="6"/>
      <c r="G114" s="6"/>
      <c r="H114" s="6"/>
      <c r="I114" s="6">
        <v>86286.26</v>
      </c>
      <c r="J114" s="6">
        <v>4048.6</v>
      </c>
      <c r="K114" s="5">
        <v>-72</v>
      </c>
      <c r="L114" s="6">
        <v>7914</v>
      </c>
      <c r="M114" s="6">
        <v>15200</v>
      </c>
      <c r="N114" s="6">
        <v>3573.5</v>
      </c>
      <c r="O114" s="6">
        <v>2030</v>
      </c>
      <c r="P114" s="6">
        <v>80875</v>
      </c>
      <c r="R114" s="141"/>
      <c r="S114" s="141"/>
      <c r="T114" s="141"/>
    </row>
    <row r="115" spans="1:20" s="3" customFormat="1" x14ac:dyDescent="0.25">
      <c r="A115" s="161"/>
      <c r="B115" s="10" t="str">
        <f>IF(L!$A$1=1,L!B238,IF(L!$A$1=2,L!C238,L!D238))</f>
        <v>2023 Gusht</v>
      </c>
      <c r="C115" s="6">
        <f t="shared" si="33"/>
        <v>300179.37</v>
      </c>
      <c r="D115" s="6"/>
      <c r="E115" s="6"/>
      <c r="F115" s="6"/>
      <c r="G115" s="6"/>
      <c r="H115" s="6"/>
      <c r="I115" s="6">
        <v>120313.56</v>
      </c>
      <c r="J115" s="6">
        <v>27978.31</v>
      </c>
      <c r="K115" s="5"/>
      <c r="L115" s="6">
        <v>9103</v>
      </c>
      <c r="M115" s="6">
        <v>16680</v>
      </c>
      <c r="N115" s="6">
        <v>7886.5</v>
      </c>
      <c r="O115" s="6">
        <v>3750</v>
      </c>
      <c r="P115" s="6">
        <v>114468</v>
      </c>
      <c r="Q115" s="138"/>
      <c r="R115" s="139"/>
    </row>
    <row r="116" spans="1:20" s="3" customFormat="1" x14ac:dyDescent="0.25">
      <c r="A116" s="161"/>
      <c r="B116" s="10" t="str">
        <f>IF(L!$A$1=1,L!B239,IF(L!$A$1=2,L!C239,L!D239))</f>
        <v>2023 Shtator</v>
      </c>
      <c r="C116" s="6">
        <f t="shared" si="33"/>
        <v>220758.83</v>
      </c>
      <c r="D116" s="6"/>
      <c r="E116" s="6"/>
      <c r="F116" s="6"/>
      <c r="G116" s="6"/>
      <c r="H116" s="6"/>
      <c r="I116" s="6">
        <v>106339.94</v>
      </c>
      <c r="J116" s="6">
        <v>31949.15</v>
      </c>
      <c r="K116" s="6">
        <v>100</v>
      </c>
      <c r="L116" s="6">
        <v>5998</v>
      </c>
      <c r="M116" s="6">
        <v>12750</v>
      </c>
      <c r="N116" s="6">
        <v>5637.5</v>
      </c>
      <c r="O116" s="6">
        <v>6221.05</v>
      </c>
      <c r="P116" s="6">
        <v>51763.19</v>
      </c>
      <c r="R116" s="139"/>
    </row>
    <row r="117" spans="1:20" s="3" customFormat="1" x14ac:dyDescent="0.25">
      <c r="A117" s="161"/>
      <c r="B117" s="10" t="str">
        <f>IF(L!$A$1=1,L!B240,IF(L!$A$1=2,L!C240,L!D240))</f>
        <v>2023 Tetor</v>
      </c>
      <c r="C117" s="6">
        <f t="shared" si="33"/>
        <v>328719.01</v>
      </c>
      <c r="D117" s="6"/>
      <c r="E117" s="6"/>
      <c r="F117" s="6"/>
      <c r="G117" s="6"/>
      <c r="H117" s="6"/>
      <c r="I117" s="6">
        <v>72931.679999999993</v>
      </c>
      <c r="J117" s="6">
        <v>111311.83</v>
      </c>
      <c r="K117" s="6">
        <v>90</v>
      </c>
      <c r="L117" s="6">
        <v>5601</v>
      </c>
      <c r="M117" s="6">
        <v>13530</v>
      </c>
      <c r="N117" s="6">
        <v>4877.5</v>
      </c>
      <c r="O117" s="6">
        <v>17077</v>
      </c>
      <c r="P117" s="6">
        <v>103300</v>
      </c>
      <c r="R117" s="139"/>
      <c r="S117" s="139"/>
    </row>
    <row r="118" spans="1:20" s="3" customFormat="1" x14ac:dyDescent="0.25">
      <c r="A118" s="161"/>
      <c r="B118" s="10" t="str">
        <f>IF(L!$A$1=1,L!B241,IF(L!$A$1=2,L!C241,L!D241))</f>
        <v xml:space="preserve">2023 Nëntor </v>
      </c>
      <c r="C118" s="6">
        <f t="shared" si="33"/>
        <v>326168.64</v>
      </c>
      <c r="D118" s="6"/>
      <c r="E118" s="6"/>
      <c r="F118" s="6"/>
      <c r="G118" s="6"/>
      <c r="H118" s="6"/>
      <c r="I118" s="6">
        <v>45931.07</v>
      </c>
      <c r="J118" s="6">
        <v>182439.12</v>
      </c>
      <c r="K118" s="6">
        <v>10119.5</v>
      </c>
      <c r="L118" s="6">
        <v>4443</v>
      </c>
      <c r="M118" s="6">
        <v>12950</v>
      </c>
      <c r="N118" s="6">
        <v>5613.5</v>
      </c>
      <c r="O118" s="6">
        <v>12189.78</v>
      </c>
      <c r="P118" s="6">
        <v>52482.67</v>
      </c>
      <c r="S118" s="139"/>
    </row>
    <row r="119" spans="1:20" s="3" customFormat="1" x14ac:dyDescent="0.25">
      <c r="A119" s="161"/>
      <c r="B119" s="10" t="str">
        <f>IF(L!$A$1=1,L!B242,IF(L!$A$1=2,L!C242,L!D242))</f>
        <v>2023 Dhjetor</v>
      </c>
      <c r="C119" s="6">
        <f t="shared" si="33"/>
        <v>306636</v>
      </c>
      <c r="D119" s="6"/>
      <c r="E119" s="6"/>
      <c r="F119" s="6"/>
      <c r="G119" s="6"/>
      <c r="H119" s="6"/>
      <c r="I119" s="6">
        <v>32538</v>
      </c>
      <c r="J119" s="6">
        <v>155066</v>
      </c>
      <c r="K119" s="6">
        <v>120</v>
      </c>
      <c r="L119" s="6">
        <v>5102</v>
      </c>
      <c r="M119" s="6">
        <v>13040</v>
      </c>
      <c r="N119" s="6">
        <v>6935</v>
      </c>
      <c r="O119" s="6">
        <v>12565</v>
      </c>
      <c r="P119" s="6">
        <v>81270</v>
      </c>
    </row>
    <row r="120" spans="1:20" s="3" customFormat="1" x14ac:dyDescent="0.25">
      <c r="A120" s="162"/>
      <c r="B120" s="11" t="str">
        <f>IF(L!$A$1=1,L!B243,IF(L!$A$1=2,L!C243,L!D243))</f>
        <v>Gjithsej 2023</v>
      </c>
      <c r="C120" s="12">
        <f>SUM(C108:C119)</f>
        <v>3407399.48</v>
      </c>
      <c r="D120" s="12" t="e">
        <f>E120+#REF!+#REF!</f>
        <v>#REF!</v>
      </c>
      <c r="E120" s="12" t="e">
        <f>F120+K120+#REF!</f>
        <v>#REF!</v>
      </c>
      <c r="F120" s="12">
        <f>SUM(G120:J120)</f>
        <v>2040090.75</v>
      </c>
      <c r="G120" s="7">
        <f t="shared" ref="G120:P120" si="34">SUM(G108:G119)</f>
        <v>0</v>
      </c>
      <c r="H120" s="7">
        <f t="shared" si="34"/>
        <v>0</v>
      </c>
      <c r="I120" s="7">
        <f t="shared" si="34"/>
        <v>1268599.05</v>
      </c>
      <c r="J120" s="7">
        <f t="shared" si="34"/>
        <v>771491.7</v>
      </c>
      <c r="K120" s="7">
        <f t="shared" si="34"/>
        <v>10977.5</v>
      </c>
      <c r="L120" s="7">
        <f t="shared" si="34"/>
        <v>71610</v>
      </c>
      <c r="M120" s="7">
        <f t="shared" si="34"/>
        <v>151601.5</v>
      </c>
      <c r="N120" s="7">
        <f t="shared" si="34"/>
        <v>57220.729999999996</v>
      </c>
      <c r="O120" s="7">
        <f t="shared" si="34"/>
        <v>109446.83</v>
      </c>
      <c r="P120" s="7">
        <f t="shared" si="34"/>
        <v>966452.17</v>
      </c>
    </row>
    <row r="121" spans="1:20" s="3" customFormat="1" x14ac:dyDescent="0.25">
      <c r="A121" s="160">
        <v>2024</v>
      </c>
      <c r="B121" s="10" t="s">
        <v>879</v>
      </c>
      <c r="C121" s="6">
        <f>I121+J121+K121+L121+M121+N121+O121+P121</f>
        <v>143589.83000000002</v>
      </c>
      <c r="D121" s="6"/>
      <c r="E121" s="6"/>
      <c r="F121" s="6"/>
      <c r="G121" s="6"/>
      <c r="H121" s="6"/>
      <c r="I121" s="6">
        <v>32734.500000000004</v>
      </c>
      <c r="J121" s="6">
        <v>1067.5899999999999</v>
      </c>
      <c r="K121" s="5">
        <v>90</v>
      </c>
      <c r="L121" s="6">
        <v>4988</v>
      </c>
      <c r="M121" s="6">
        <v>12870</v>
      </c>
      <c r="N121" s="6">
        <v>4530</v>
      </c>
      <c r="O121" s="6">
        <v>10881</v>
      </c>
      <c r="P121" s="6">
        <v>76428.740000000005</v>
      </c>
      <c r="R121" s="147"/>
    </row>
    <row r="122" spans="1:20" s="3" customFormat="1" x14ac:dyDescent="0.25">
      <c r="A122" s="161"/>
      <c r="B122" s="10" t="s">
        <v>878</v>
      </c>
      <c r="C122" s="6">
        <f t="shared" ref="C122:C132" si="35">I122+J122+K122+L122+M122+N122+O122+P122</f>
        <v>229490.91000000003</v>
      </c>
      <c r="D122" s="6"/>
      <c r="E122" s="6"/>
      <c r="F122" s="6"/>
      <c r="G122" s="6"/>
      <c r="H122" s="6"/>
      <c r="I122" s="150">
        <v>38924.30000000001</v>
      </c>
      <c r="J122" s="6">
        <v>82229.350000000006</v>
      </c>
      <c r="K122" s="5">
        <v>90</v>
      </c>
      <c r="L122" s="6">
        <v>3302</v>
      </c>
      <c r="M122" s="6">
        <v>12370</v>
      </c>
      <c r="N122" s="6">
        <v>5013</v>
      </c>
      <c r="O122" s="6">
        <v>13409</v>
      </c>
      <c r="P122" s="6">
        <v>74153.259999999995</v>
      </c>
    </row>
    <row r="123" spans="1:20" s="3" customFormat="1" x14ac:dyDescent="0.25">
      <c r="A123" s="161"/>
      <c r="B123" s="10" t="s">
        <v>880</v>
      </c>
      <c r="C123" s="6">
        <f t="shared" si="35"/>
        <v>238405.53999999998</v>
      </c>
      <c r="D123" s="6"/>
      <c r="E123" s="6"/>
      <c r="F123" s="6"/>
      <c r="G123" s="6"/>
      <c r="H123" s="6"/>
      <c r="I123" s="6">
        <v>44633.609999999993</v>
      </c>
      <c r="J123" s="6">
        <v>47348.94</v>
      </c>
      <c r="K123" s="5">
        <v>16</v>
      </c>
      <c r="L123" s="6">
        <v>2314</v>
      </c>
      <c r="M123" s="6">
        <v>12640</v>
      </c>
      <c r="N123" s="6">
        <v>3857.5</v>
      </c>
      <c r="O123" s="6">
        <v>26606</v>
      </c>
      <c r="P123" s="6">
        <v>100989.48999999999</v>
      </c>
    </row>
    <row r="124" spans="1:20" s="3" customFormat="1" x14ac:dyDescent="0.25">
      <c r="A124" s="161"/>
      <c r="B124" s="10" t="s">
        <v>881</v>
      </c>
      <c r="C124" s="6">
        <f t="shared" si="35"/>
        <v>314808.86</v>
      </c>
      <c r="D124" s="6"/>
      <c r="E124" s="6"/>
      <c r="F124" s="6"/>
      <c r="G124" s="6"/>
      <c r="H124" s="6"/>
      <c r="I124" s="6">
        <v>163579.05000000002</v>
      </c>
      <c r="J124" s="6">
        <v>35728.06</v>
      </c>
      <c r="K124" s="5"/>
      <c r="L124" s="6">
        <v>2289</v>
      </c>
      <c r="M124" s="6">
        <v>13020</v>
      </c>
      <c r="N124" s="6">
        <v>4770.5</v>
      </c>
      <c r="O124" s="6">
        <v>14043</v>
      </c>
      <c r="P124" s="6">
        <v>81379.249999999971</v>
      </c>
    </row>
    <row r="125" spans="1:20" s="3" customFormat="1" x14ac:dyDescent="0.25">
      <c r="A125" s="161"/>
      <c r="B125" s="10" t="s">
        <v>882</v>
      </c>
      <c r="C125" s="6">
        <f t="shared" si="35"/>
        <v>244358.8</v>
      </c>
      <c r="D125" s="6"/>
      <c r="E125" s="6"/>
      <c r="F125" s="6"/>
      <c r="G125" s="6"/>
      <c r="H125" s="6"/>
      <c r="I125" s="6">
        <v>68579.61</v>
      </c>
      <c r="J125" s="6">
        <v>89622.83</v>
      </c>
      <c r="K125" s="5">
        <v>8</v>
      </c>
      <c r="L125" s="6">
        <v>2329</v>
      </c>
      <c r="M125" s="6">
        <v>12530</v>
      </c>
      <c r="N125" s="13">
        <v>5088</v>
      </c>
      <c r="O125" s="6">
        <v>13133</v>
      </c>
      <c r="P125" s="6">
        <v>53068.36</v>
      </c>
    </row>
    <row r="126" spans="1:20" s="3" customFormat="1" x14ac:dyDescent="0.25">
      <c r="A126" s="161"/>
      <c r="B126" s="10" t="s">
        <v>883</v>
      </c>
      <c r="C126" s="6">
        <f t="shared" si="35"/>
        <v>226548.13999999998</v>
      </c>
      <c r="D126" s="6"/>
      <c r="E126" s="6"/>
      <c r="F126" s="6"/>
      <c r="G126" s="6"/>
      <c r="H126" s="6"/>
      <c r="I126" s="148">
        <v>21797.939999999995</v>
      </c>
      <c r="J126" s="148">
        <v>94150.11</v>
      </c>
      <c r="K126" s="149"/>
      <c r="L126" s="148">
        <v>2265</v>
      </c>
      <c r="M126" s="148">
        <v>13795</v>
      </c>
      <c r="N126" s="148">
        <v>4210</v>
      </c>
      <c r="O126" s="148">
        <v>11796</v>
      </c>
      <c r="P126" s="148">
        <v>78534.09</v>
      </c>
    </row>
    <row r="127" spans="1:20" s="3" customFormat="1" x14ac:dyDescent="0.25">
      <c r="A127" s="161"/>
      <c r="B127" s="10" t="s">
        <v>884</v>
      </c>
      <c r="C127" s="6">
        <f t="shared" si="35"/>
        <v>170098.06</v>
      </c>
      <c r="D127" s="6"/>
      <c r="E127" s="6"/>
      <c r="F127" s="6"/>
      <c r="G127" s="6"/>
      <c r="H127" s="6"/>
      <c r="I127" s="148">
        <v>35723.179999999993</v>
      </c>
      <c r="J127" s="148">
        <v>26215.38</v>
      </c>
      <c r="K127" s="149">
        <v>180</v>
      </c>
      <c r="L127" s="148">
        <v>3101</v>
      </c>
      <c r="M127" s="148">
        <v>17680</v>
      </c>
      <c r="N127" s="148">
        <v>5281.5</v>
      </c>
      <c r="O127" s="148">
        <v>1718</v>
      </c>
      <c r="P127" s="148">
        <v>80199</v>
      </c>
    </row>
    <row r="128" spans="1:20" s="3" customFormat="1" x14ac:dyDescent="0.25">
      <c r="A128" s="161"/>
      <c r="B128" s="10" t="s">
        <v>885</v>
      </c>
      <c r="C128" s="6"/>
      <c r="D128" s="6"/>
      <c r="E128" s="6"/>
      <c r="F128" s="6"/>
      <c r="G128" s="6"/>
      <c r="H128" s="6"/>
      <c r="I128" s="148"/>
      <c r="J128" s="148"/>
      <c r="K128" s="149"/>
      <c r="L128" s="148"/>
      <c r="M128" s="148"/>
      <c r="N128" s="148"/>
      <c r="O128" s="148"/>
      <c r="P128" s="148"/>
    </row>
    <row r="129" spans="1:18" s="3" customFormat="1" x14ac:dyDescent="0.25">
      <c r="A129" s="161"/>
      <c r="B129" s="10" t="s">
        <v>886</v>
      </c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8" s="3" customFormat="1" x14ac:dyDescent="0.25">
      <c r="A130" s="161"/>
      <c r="B130" s="10" t="s">
        <v>887</v>
      </c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8" s="3" customFormat="1" x14ac:dyDescent="0.25">
      <c r="A131" s="161"/>
      <c r="B131" s="10" t="s">
        <v>888</v>
      </c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8" s="3" customFormat="1" x14ac:dyDescent="0.25">
      <c r="A132" s="161"/>
      <c r="B132" s="10" t="s">
        <v>889</v>
      </c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8" s="3" customFormat="1" x14ac:dyDescent="0.25">
      <c r="A133" s="162"/>
      <c r="B133" s="11" t="s">
        <v>890</v>
      </c>
      <c r="C133" s="12">
        <f>SUM(C121:C132)</f>
        <v>1567300.14</v>
      </c>
      <c r="D133" s="12" t="e">
        <f>E133+#REF!+#REF!</f>
        <v>#REF!</v>
      </c>
      <c r="E133" s="12" t="e">
        <f>F133+K133+#REF!</f>
        <v>#REF!</v>
      </c>
      <c r="F133" s="12">
        <f>SUM(G133:J133)</f>
        <v>782334.45</v>
      </c>
      <c r="G133" s="7">
        <f t="shared" ref="G133:P133" si="36">SUM(G121:G132)</f>
        <v>0</v>
      </c>
      <c r="H133" s="7">
        <f t="shared" si="36"/>
        <v>0</v>
      </c>
      <c r="I133" s="7">
        <f t="shared" si="36"/>
        <v>405972.19</v>
      </c>
      <c r="J133" s="7">
        <f t="shared" si="36"/>
        <v>376362.26</v>
      </c>
      <c r="K133" s="7">
        <f t="shared" si="36"/>
        <v>384</v>
      </c>
      <c r="L133" s="7">
        <f t="shared" si="36"/>
        <v>20588</v>
      </c>
      <c r="M133" s="7">
        <f t="shared" si="36"/>
        <v>94905</v>
      </c>
      <c r="N133" s="7">
        <f t="shared" si="36"/>
        <v>32750.5</v>
      </c>
      <c r="O133" s="7">
        <f t="shared" si="36"/>
        <v>91586</v>
      </c>
      <c r="P133" s="7">
        <f t="shared" si="36"/>
        <v>544752.18999999994</v>
      </c>
    </row>
    <row r="134" spans="1:18" s="3" customFormat="1" x14ac:dyDescent="0.25">
      <c r="G134" s="4"/>
      <c r="H134" s="4"/>
      <c r="I134" s="4"/>
      <c r="J134" s="4"/>
      <c r="K134" s="4"/>
    </row>
    <row r="135" spans="1:18" s="3" customFormat="1" x14ac:dyDescent="0.25">
      <c r="G135" s="4"/>
      <c r="H135" s="4"/>
      <c r="I135" s="4"/>
      <c r="J135" s="4"/>
      <c r="K135" s="4"/>
      <c r="R135" s="139"/>
    </row>
    <row r="136" spans="1:18" s="3" customFormat="1" x14ac:dyDescent="0.25">
      <c r="G136" s="4"/>
      <c r="H136" s="4"/>
      <c r="I136" s="4"/>
      <c r="J136" s="4"/>
      <c r="K136" s="4"/>
    </row>
    <row r="137" spans="1:18" s="3" customFormat="1" x14ac:dyDescent="0.25">
      <c r="G137" s="4"/>
      <c r="H137" s="4"/>
      <c r="I137" s="4"/>
      <c r="J137" s="4"/>
      <c r="K137" s="4"/>
    </row>
    <row r="138" spans="1:18" s="3" customFormat="1" x14ac:dyDescent="0.25">
      <c r="G138" s="4"/>
      <c r="H138" s="4"/>
      <c r="I138" s="4"/>
      <c r="J138" s="4"/>
      <c r="K138" s="4"/>
    </row>
    <row r="139" spans="1:18" s="3" customFormat="1" x14ac:dyDescent="0.25">
      <c r="G139" s="4"/>
      <c r="H139" s="4"/>
      <c r="I139" s="4"/>
      <c r="J139" s="4"/>
      <c r="K139" s="4"/>
    </row>
    <row r="140" spans="1:18" s="3" customFormat="1" x14ac:dyDescent="0.25">
      <c r="G140" s="4"/>
      <c r="H140" s="4"/>
      <c r="I140" s="4"/>
      <c r="J140" s="4"/>
      <c r="K140" s="4"/>
      <c r="Q140" s="139"/>
    </row>
    <row r="141" spans="1:18" s="3" customFormat="1" x14ac:dyDescent="0.25">
      <c r="G141" s="4"/>
      <c r="H141" s="4"/>
      <c r="I141" s="4"/>
      <c r="J141" s="4"/>
      <c r="K141" s="4"/>
    </row>
    <row r="142" spans="1:18" s="3" customFormat="1" x14ac:dyDescent="0.25">
      <c r="G142" s="4"/>
      <c r="H142" s="4"/>
      <c r="I142" s="4"/>
      <c r="J142" s="4"/>
      <c r="K142" s="4"/>
    </row>
    <row r="143" spans="1:18" s="3" customFormat="1" x14ac:dyDescent="0.25">
      <c r="G143" s="4"/>
      <c r="H143" s="4"/>
      <c r="I143" s="4"/>
      <c r="J143" s="4"/>
      <c r="K143" s="4"/>
    </row>
    <row r="144" spans="1:18" s="3" customFormat="1" x14ac:dyDescent="0.25">
      <c r="G144" s="4"/>
      <c r="H144" s="4"/>
      <c r="I144" s="4"/>
      <c r="J144" s="4"/>
      <c r="K144" s="4"/>
    </row>
    <row r="145" spans="7:11" s="3" customFormat="1" x14ac:dyDescent="0.25">
      <c r="G145" s="4"/>
      <c r="H145" s="4"/>
      <c r="I145" s="4"/>
      <c r="J145" s="4"/>
      <c r="K145" s="4"/>
    </row>
    <row r="146" spans="7:11" s="3" customFormat="1" x14ac:dyDescent="0.25">
      <c r="G146" s="4"/>
      <c r="H146" s="4"/>
      <c r="I146" s="4"/>
      <c r="J146" s="4"/>
      <c r="K146" s="4"/>
    </row>
    <row r="147" spans="7:11" s="3" customFormat="1" x14ac:dyDescent="0.25">
      <c r="G147" s="4"/>
      <c r="H147" s="4"/>
      <c r="I147" s="4"/>
      <c r="J147" s="4"/>
      <c r="K147" s="4"/>
    </row>
    <row r="148" spans="7:11" s="3" customFormat="1" x14ac:dyDescent="0.25">
      <c r="G148" s="4"/>
      <c r="H148" s="4"/>
      <c r="I148" s="4"/>
      <c r="J148" s="4"/>
      <c r="K148" s="4"/>
    </row>
    <row r="149" spans="7:11" s="3" customFormat="1" x14ac:dyDescent="0.25">
      <c r="G149" s="4"/>
      <c r="H149" s="4"/>
      <c r="I149" s="4"/>
      <c r="J149" s="4"/>
      <c r="K149" s="4"/>
    </row>
    <row r="150" spans="7:11" s="3" customFormat="1" x14ac:dyDescent="0.25">
      <c r="G150" s="4"/>
      <c r="H150" s="4"/>
      <c r="I150" s="4"/>
      <c r="J150" s="4"/>
      <c r="K150" s="4"/>
    </row>
    <row r="151" spans="7:11" s="3" customFormat="1" x14ac:dyDescent="0.25">
      <c r="G151" s="4"/>
      <c r="H151" s="4"/>
      <c r="I151" s="4"/>
      <c r="J151" s="4"/>
      <c r="K151" s="4"/>
    </row>
    <row r="152" spans="7:11" s="3" customFormat="1" x14ac:dyDescent="0.25">
      <c r="G152" s="4"/>
      <c r="H152" s="4"/>
      <c r="I152" s="4"/>
      <c r="J152" s="4"/>
      <c r="K152" s="4"/>
    </row>
    <row r="153" spans="7:11" s="3" customFormat="1" x14ac:dyDescent="0.25">
      <c r="G153" s="4"/>
      <c r="H153" s="4"/>
      <c r="I153" s="4"/>
      <c r="J153" s="4"/>
      <c r="K153" s="4"/>
    </row>
    <row r="154" spans="7:11" s="3" customFormat="1" x14ac:dyDescent="0.25">
      <c r="G154" s="4"/>
      <c r="H154" s="4"/>
      <c r="I154" s="4"/>
      <c r="J154" s="4"/>
      <c r="K154" s="4"/>
    </row>
    <row r="155" spans="7:11" s="3" customFormat="1" x14ac:dyDescent="0.25">
      <c r="G155" s="4"/>
      <c r="H155" s="4"/>
      <c r="I155" s="4"/>
      <c r="J155" s="4"/>
      <c r="K155" s="4"/>
    </row>
    <row r="156" spans="7:11" s="3" customFormat="1" x14ac:dyDescent="0.25">
      <c r="G156" s="4"/>
      <c r="H156" s="4"/>
      <c r="I156" s="4"/>
      <c r="J156" s="4"/>
      <c r="K156" s="4"/>
    </row>
    <row r="157" spans="7:11" s="3" customFormat="1" x14ac:dyDescent="0.25">
      <c r="G157" s="4"/>
      <c r="H157" s="4"/>
      <c r="I157" s="4"/>
      <c r="J157" s="4"/>
      <c r="K157" s="4"/>
    </row>
    <row r="158" spans="7:11" s="3" customFormat="1" x14ac:dyDescent="0.25">
      <c r="G158" s="4"/>
      <c r="H158" s="4"/>
      <c r="I158" s="4"/>
      <c r="J158" s="4"/>
      <c r="K158" s="4"/>
    </row>
    <row r="159" spans="7:11" s="3" customFormat="1" x14ac:dyDescent="0.25">
      <c r="G159" s="4"/>
      <c r="H159" s="4"/>
      <c r="I159" s="4"/>
      <c r="J159" s="4"/>
      <c r="K159" s="4"/>
    </row>
    <row r="160" spans="7:11" s="3" customFormat="1" x14ac:dyDescent="0.25">
      <c r="G160" s="4"/>
      <c r="H160" s="4"/>
      <c r="I160" s="4"/>
      <c r="J160" s="4"/>
      <c r="K160" s="4"/>
    </row>
    <row r="161" spans="7:11" s="3" customFormat="1" x14ac:dyDescent="0.25">
      <c r="G161" s="4"/>
      <c r="H161" s="4"/>
      <c r="I161" s="4"/>
      <c r="J161" s="4"/>
      <c r="K161" s="4"/>
    </row>
    <row r="162" spans="7:11" s="3" customFormat="1" x14ac:dyDescent="0.25">
      <c r="G162" s="4"/>
      <c r="H162" s="4"/>
      <c r="I162" s="4"/>
      <c r="J162" s="4"/>
      <c r="K162" s="4"/>
    </row>
    <row r="163" spans="7:11" s="3" customFormat="1" x14ac:dyDescent="0.25">
      <c r="G163" s="4"/>
      <c r="H163" s="4"/>
      <c r="I163" s="4"/>
      <c r="J163" s="4"/>
      <c r="K163" s="4"/>
    </row>
    <row r="164" spans="7:11" s="3" customFormat="1" x14ac:dyDescent="0.25">
      <c r="G164" s="4"/>
      <c r="H164" s="4"/>
      <c r="I164" s="4"/>
      <c r="J164" s="4"/>
      <c r="K164" s="4"/>
    </row>
    <row r="165" spans="7:11" s="3" customFormat="1" x14ac:dyDescent="0.25">
      <c r="G165" s="4"/>
      <c r="H165" s="4"/>
      <c r="I165" s="4"/>
      <c r="J165" s="4"/>
      <c r="K165" s="4"/>
    </row>
    <row r="166" spans="7:11" s="3" customFormat="1" x14ac:dyDescent="0.25">
      <c r="G166" s="4"/>
      <c r="H166" s="4"/>
      <c r="I166" s="4"/>
      <c r="J166" s="4"/>
      <c r="K166" s="4"/>
    </row>
    <row r="167" spans="7:11" s="3" customFormat="1" x14ac:dyDescent="0.25">
      <c r="G167" s="4"/>
      <c r="H167" s="4"/>
      <c r="I167" s="4"/>
      <c r="J167" s="4"/>
      <c r="K167" s="4"/>
    </row>
    <row r="168" spans="7:11" s="3" customFormat="1" x14ac:dyDescent="0.25">
      <c r="G168" s="4"/>
      <c r="H168" s="4"/>
      <c r="I168" s="4"/>
      <c r="J168" s="4"/>
      <c r="K168" s="4"/>
    </row>
    <row r="169" spans="7:11" s="3" customFormat="1" x14ac:dyDescent="0.25">
      <c r="G169" s="4"/>
      <c r="H169" s="4"/>
      <c r="I169" s="4"/>
      <c r="J169" s="4"/>
      <c r="K169" s="4"/>
    </row>
    <row r="170" spans="7:11" s="3" customFormat="1" x14ac:dyDescent="0.25">
      <c r="G170" s="4"/>
      <c r="H170" s="4"/>
      <c r="I170" s="4"/>
      <c r="J170" s="4"/>
      <c r="K170" s="4"/>
    </row>
    <row r="171" spans="7:11" s="3" customFormat="1" x14ac:dyDescent="0.25">
      <c r="G171" s="4"/>
      <c r="H171" s="4"/>
      <c r="I171" s="4"/>
      <c r="J171" s="4"/>
      <c r="K171" s="4"/>
    </row>
    <row r="172" spans="7:11" s="3" customFormat="1" x14ac:dyDescent="0.25">
      <c r="G172" s="4"/>
      <c r="H172" s="4"/>
      <c r="I172" s="4"/>
      <c r="J172" s="4"/>
      <c r="K172" s="4"/>
    </row>
    <row r="173" spans="7:11" s="3" customFormat="1" x14ac:dyDescent="0.25">
      <c r="G173" s="4"/>
      <c r="H173" s="4"/>
      <c r="I173" s="4"/>
      <c r="J173" s="4"/>
      <c r="K173" s="4"/>
    </row>
    <row r="174" spans="7:11" s="3" customFormat="1" x14ac:dyDescent="0.25">
      <c r="G174" s="4"/>
      <c r="H174" s="4"/>
      <c r="I174" s="4"/>
      <c r="J174" s="4"/>
      <c r="K174" s="4"/>
    </row>
    <row r="175" spans="7:11" s="3" customFormat="1" x14ac:dyDescent="0.25">
      <c r="G175" s="4"/>
      <c r="H175" s="4"/>
      <c r="I175" s="4"/>
      <c r="J175" s="4"/>
      <c r="K175" s="4"/>
    </row>
    <row r="176" spans="7:11" s="3" customFormat="1" x14ac:dyDescent="0.25">
      <c r="G176" s="4"/>
      <c r="H176" s="4"/>
      <c r="I176" s="4"/>
      <c r="J176" s="4"/>
      <c r="K176" s="4"/>
    </row>
    <row r="177" spans="7:11" s="3" customFormat="1" x14ac:dyDescent="0.25">
      <c r="G177" s="4"/>
      <c r="H177" s="4"/>
      <c r="I177" s="4"/>
      <c r="J177" s="4"/>
      <c r="K177" s="4"/>
    </row>
    <row r="178" spans="7:11" s="3" customFormat="1" x14ac:dyDescent="0.25">
      <c r="G178" s="4"/>
      <c r="H178" s="4"/>
      <c r="I178" s="4"/>
      <c r="J178" s="4"/>
      <c r="K178" s="4"/>
    </row>
    <row r="179" spans="7:11" s="3" customFormat="1" x14ac:dyDescent="0.25">
      <c r="G179" s="4"/>
      <c r="H179" s="4"/>
      <c r="I179" s="4"/>
      <c r="J179" s="4"/>
      <c r="K179" s="4"/>
    </row>
    <row r="180" spans="7:11" s="3" customFormat="1" x14ac:dyDescent="0.25">
      <c r="G180" s="4"/>
      <c r="H180" s="4"/>
      <c r="I180" s="4"/>
      <c r="J180" s="4"/>
      <c r="K180" s="4"/>
    </row>
    <row r="181" spans="7:11" s="3" customFormat="1" x14ac:dyDescent="0.25">
      <c r="G181" s="4"/>
      <c r="H181" s="4"/>
      <c r="I181" s="4"/>
      <c r="J181" s="4"/>
      <c r="K181" s="4"/>
    </row>
    <row r="182" spans="7:11" s="3" customFormat="1" x14ac:dyDescent="0.25">
      <c r="G182" s="4"/>
      <c r="H182" s="4"/>
      <c r="I182" s="4"/>
      <c r="J182" s="4"/>
      <c r="K182" s="4"/>
    </row>
    <row r="183" spans="7:11" s="3" customFormat="1" x14ac:dyDescent="0.25">
      <c r="G183" s="4"/>
      <c r="H183" s="4"/>
      <c r="I183" s="4"/>
      <c r="J183" s="4"/>
      <c r="K183" s="4"/>
    </row>
    <row r="184" spans="7:11" s="3" customFormat="1" x14ac:dyDescent="0.25">
      <c r="G184" s="4"/>
      <c r="H184" s="4"/>
      <c r="I184" s="4"/>
      <c r="J184" s="4"/>
      <c r="K184" s="4"/>
    </row>
    <row r="185" spans="7:11" s="3" customFormat="1" x14ac:dyDescent="0.25">
      <c r="G185" s="4"/>
      <c r="H185" s="4"/>
      <c r="I185" s="4"/>
      <c r="J185" s="4"/>
      <c r="K185" s="4"/>
    </row>
    <row r="186" spans="7:11" s="3" customFormat="1" x14ac:dyDescent="0.25">
      <c r="G186" s="4"/>
      <c r="H186" s="4"/>
      <c r="I186" s="4"/>
      <c r="J186" s="4"/>
      <c r="K186" s="4"/>
    </row>
    <row r="187" spans="7:11" s="3" customFormat="1" x14ac:dyDescent="0.25">
      <c r="G187" s="4"/>
      <c r="H187" s="4"/>
      <c r="I187" s="4"/>
      <c r="J187" s="4"/>
      <c r="K187" s="4"/>
    </row>
    <row r="188" spans="7:11" s="3" customFormat="1" x14ac:dyDescent="0.25">
      <c r="G188" s="4"/>
      <c r="H188" s="4"/>
      <c r="I188" s="4"/>
      <c r="J188" s="4"/>
      <c r="K188" s="4"/>
    </row>
    <row r="189" spans="7:11" s="3" customFormat="1" x14ac:dyDescent="0.25">
      <c r="G189" s="4"/>
      <c r="H189" s="4"/>
      <c r="I189" s="4"/>
      <c r="J189" s="4"/>
      <c r="K189" s="4"/>
    </row>
    <row r="190" spans="7:11" s="3" customFormat="1" x14ac:dyDescent="0.25">
      <c r="G190" s="4"/>
      <c r="H190" s="4"/>
      <c r="I190" s="4"/>
      <c r="J190" s="4"/>
      <c r="K190" s="4"/>
    </row>
    <row r="191" spans="7:11" s="3" customFormat="1" x14ac:dyDescent="0.25">
      <c r="G191" s="4"/>
      <c r="H191" s="4"/>
      <c r="I191" s="4"/>
      <c r="J191" s="4"/>
      <c r="K191" s="4"/>
    </row>
    <row r="192" spans="7:11" s="3" customFormat="1" x14ac:dyDescent="0.25">
      <c r="G192" s="4"/>
      <c r="H192" s="4"/>
      <c r="I192" s="4"/>
      <c r="J192" s="4"/>
      <c r="K192" s="4"/>
    </row>
    <row r="193" spans="7:11" s="3" customFormat="1" x14ac:dyDescent="0.25">
      <c r="G193" s="4"/>
      <c r="H193" s="4"/>
      <c r="I193" s="4"/>
      <c r="J193" s="4"/>
      <c r="K193" s="4"/>
    </row>
    <row r="194" spans="7:11" s="3" customFormat="1" x14ac:dyDescent="0.25">
      <c r="G194" s="4"/>
      <c r="H194" s="4"/>
      <c r="I194" s="4"/>
      <c r="J194" s="4"/>
      <c r="K194" s="4"/>
    </row>
    <row r="195" spans="7:11" s="3" customFormat="1" x14ac:dyDescent="0.25">
      <c r="G195" s="4"/>
      <c r="H195" s="4"/>
      <c r="I195" s="4"/>
      <c r="J195" s="4"/>
      <c r="K195" s="4"/>
    </row>
    <row r="196" spans="7:11" s="3" customFormat="1" x14ac:dyDescent="0.25">
      <c r="G196" s="4"/>
      <c r="H196" s="4"/>
      <c r="I196" s="4"/>
      <c r="J196" s="4"/>
      <c r="K196" s="4"/>
    </row>
    <row r="197" spans="7:11" s="3" customFormat="1" x14ac:dyDescent="0.25">
      <c r="G197" s="4"/>
      <c r="H197" s="4"/>
      <c r="I197" s="4"/>
      <c r="J197" s="4"/>
      <c r="K197" s="4"/>
    </row>
    <row r="198" spans="7:11" s="3" customFormat="1" x14ac:dyDescent="0.25">
      <c r="G198" s="4"/>
      <c r="H198" s="4"/>
      <c r="I198" s="4"/>
      <c r="J198" s="4"/>
      <c r="K198" s="4"/>
    </row>
    <row r="199" spans="7:11" s="3" customFormat="1" x14ac:dyDescent="0.25">
      <c r="G199" s="4"/>
      <c r="H199" s="4"/>
      <c r="I199" s="4"/>
      <c r="J199" s="4"/>
      <c r="K199" s="4"/>
    </row>
    <row r="200" spans="7:11" s="3" customFormat="1" x14ac:dyDescent="0.25">
      <c r="G200" s="4"/>
      <c r="H200" s="4"/>
      <c r="I200" s="4"/>
      <c r="J200" s="4"/>
      <c r="K200" s="4"/>
    </row>
    <row r="201" spans="7:11" s="3" customFormat="1" x14ac:dyDescent="0.25">
      <c r="G201" s="4"/>
      <c r="H201" s="4"/>
      <c r="I201" s="4"/>
      <c r="J201" s="4"/>
      <c r="K201" s="4"/>
    </row>
    <row r="202" spans="7:11" s="3" customFormat="1" x14ac:dyDescent="0.25">
      <c r="G202" s="4"/>
      <c r="H202" s="4"/>
      <c r="I202" s="4"/>
      <c r="J202" s="4"/>
      <c r="K202" s="4"/>
    </row>
    <row r="203" spans="7:11" s="3" customFormat="1" x14ac:dyDescent="0.25">
      <c r="G203" s="4"/>
      <c r="H203" s="4"/>
      <c r="I203" s="4"/>
      <c r="J203" s="4"/>
      <c r="K203" s="4"/>
    </row>
    <row r="204" spans="7:11" s="3" customFormat="1" x14ac:dyDescent="0.25">
      <c r="G204" s="4"/>
      <c r="H204" s="4"/>
      <c r="I204" s="4"/>
      <c r="J204" s="4"/>
      <c r="K204" s="4"/>
    </row>
    <row r="205" spans="7:11" s="3" customFormat="1" x14ac:dyDescent="0.25">
      <c r="G205" s="4"/>
      <c r="H205" s="4"/>
      <c r="I205" s="4"/>
      <c r="J205" s="4"/>
      <c r="K205" s="4"/>
    </row>
    <row r="206" spans="7:11" s="3" customFormat="1" x14ac:dyDescent="0.25">
      <c r="G206" s="4"/>
      <c r="H206" s="4"/>
      <c r="I206" s="4"/>
      <c r="J206" s="4"/>
      <c r="K206" s="4"/>
    </row>
    <row r="207" spans="7:11" s="3" customFormat="1" x14ac:dyDescent="0.25">
      <c r="G207" s="4"/>
      <c r="H207" s="4"/>
      <c r="I207" s="4"/>
      <c r="J207" s="4"/>
      <c r="K207" s="4"/>
    </row>
    <row r="208" spans="7:11" s="3" customFormat="1" x14ac:dyDescent="0.25">
      <c r="G208" s="4"/>
      <c r="H208" s="4"/>
      <c r="I208" s="4"/>
      <c r="J208" s="4"/>
      <c r="K208" s="4"/>
    </row>
    <row r="209" spans="7:11" s="3" customFormat="1" x14ac:dyDescent="0.25">
      <c r="G209" s="4"/>
      <c r="H209" s="4"/>
      <c r="I209" s="4"/>
      <c r="J209" s="4"/>
      <c r="K209" s="4"/>
    </row>
    <row r="210" spans="7:11" s="3" customFormat="1" x14ac:dyDescent="0.25">
      <c r="G210" s="4"/>
      <c r="H210" s="4"/>
      <c r="I210" s="4"/>
      <c r="J210" s="4"/>
      <c r="K210" s="4"/>
    </row>
    <row r="211" spans="7:11" s="3" customFormat="1" x14ac:dyDescent="0.25">
      <c r="G211" s="4"/>
      <c r="H211" s="4"/>
      <c r="I211" s="4"/>
      <c r="J211" s="4"/>
      <c r="K211" s="4"/>
    </row>
    <row r="212" spans="7:11" s="3" customFormat="1" x14ac:dyDescent="0.25">
      <c r="G212" s="4"/>
      <c r="H212" s="4"/>
      <c r="I212" s="4"/>
      <c r="J212" s="4"/>
      <c r="K212" s="4"/>
    </row>
    <row r="213" spans="7:11" s="3" customFormat="1" x14ac:dyDescent="0.25">
      <c r="G213" s="4"/>
      <c r="H213" s="4"/>
      <c r="I213" s="4"/>
      <c r="J213" s="4"/>
      <c r="K213" s="4"/>
    </row>
    <row r="214" spans="7:11" s="3" customFormat="1" x14ac:dyDescent="0.25">
      <c r="G214" s="4"/>
      <c r="H214" s="4"/>
      <c r="I214" s="4"/>
      <c r="J214" s="4"/>
      <c r="K214" s="4"/>
    </row>
    <row r="215" spans="7:11" s="3" customFormat="1" x14ac:dyDescent="0.25">
      <c r="G215" s="4"/>
      <c r="H215" s="4"/>
      <c r="I215" s="4"/>
      <c r="J215" s="4"/>
      <c r="K215" s="4"/>
    </row>
    <row r="216" spans="7:11" s="3" customFormat="1" x14ac:dyDescent="0.25">
      <c r="G216" s="4"/>
      <c r="H216" s="4"/>
      <c r="I216" s="4"/>
      <c r="J216" s="4"/>
      <c r="K216" s="4"/>
    </row>
  </sheetData>
  <mergeCells count="11">
    <mergeCell ref="A121:A133"/>
    <mergeCell ref="A108:A120"/>
    <mergeCell ref="D1:D2"/>
    <mergeCell ref="A17:A29"/>
    <mergeCell ref="A4:A16"/>
    <mergeCell ref="A43:A55"/>
    <mergeCell ref="A95:A107"/>
    <mergeCell ref="A82:A94"/>
    <mergeCell ref="A69:A81"/>
    <mergeCell ref="A56:A68"/>
    <mergeCell ref="A30:A42"/>
  </mergeCells>
  <pageMargins left="0.25" right="0.25" top="0.75" bottom="0.75" header="0.3" footer="0.3"/>
  <pageSetup paperSize="9" scale="85" orientation="landscape" r:id="rId1"/>
  <rowBreaks count="1" manualBreakCount="1">
    <brk id="29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8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23" t="s">
        <v>170</v>
      </c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30"/>
      <c r="AE2" s="30"/>
      <c r="AF2" s="30"/>
      <c r="AG2" s="30"/>
      <c r="AH2" s="30"/>
      <c r="AI2" s="30"/>
      <c r="AJ2" s="30"/>
      <c r="AK2" s="30"/>
      <c r="AL2" s="30"/>
      <c r="AM2" s="30"/>
    </row>
    <row r="3" spans="1:39" ht="15" customHeight="1" x14ac:dyDescent="0.25">
      <c r="A3" t="s">
        <v>568</v>
      </c>
      <c r="G3" s="29" t="s">
        <v>192</v>
      </c>
      <c r="H3" s="31"/>
      <c r="I3" s="31"/>
      <c r="J3" s="31"/>
      <c r="K3" s="31"/>
      <c r="L3" s="29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30"/>
      <c r="AE3" s="30"/>
      <c r="AF3" s="30"/>
      <c r="AG3" s="30"/>
      <c r="AH3" s="30"/>
      <c r="AI3" s="30"/>
      <c r="AJ3" s="30"/>
      <c r="AK3" s="30"/>
      <c r="AL3" s="30"/>
      <c r="AM3" s="30"/>
    </row>
    <row r="4" spans="1:39" ht="30.75" customHeight="1" x14ac:dyDescent="0.25">
      <c r="A4" t="s">
        <v>567</v>
      </c>
      <c r="G4" s="33" t="s">
        <v>172</v>
      </c>
      <c r="H4" s="33" t="s">
        <v>39</v>
      </c>
      <c r="I4" s="71" t="s">
        <v>173</v>
      </c>
      <c r="J4" s="33" t="s">
        <v>169</v>
      </c>
      <c r="K4" s="32" t="s">
        <v>1</v>
      </c>
      <c r="L4" s="32" t="s">
        <v>0</v>
      </c>
      <c r="M4" s="32" t="s">
        <v>37</v>
      </c>
      <c r="N4" s="32" t="s">
        <v>33</v>
      </c>
      <c r="O4" s="32" t="s">
        <v>21</v>
      </c>
      <c r="P4" s="32" t="s">
        <v>34</v>
      </c>
      <c r="Q4" s="32" t="s">
        <v>22</v>
      </c>
      <c r="R4" s="32" t="s">
        <v>35</v>
      </c>
      <c r="S4" s="32" t="s">
        <v>2</v>
      </c>
      <c r="T4" s="33" t="s">
        <v>0</v>
      </c>
      <c r="U4" s="32" t="s">
        <v>32</v>
      </c>
      <c r="V4" s="32" t="s">
        <v>33</v>
      </c>
      <c r="W4" s="32" t="s">
        <v>21</v>
      </c>
      <c r="X4" s="32" t="s">
        <v>35</v>
      </c>
      <c r="Y4" s="32" t="s">
        <v>38</v>
      </c>
      <c r="Z4" s="32" t="s">
        <v>3</v>
      </c>
      <c r="AA4" s="32" t="s">
        <v>4</v>
      </c>
      <c r="AB4" s="32" t="s">
        <v>179</v>
      </c>
      <c r="AC4" s="32" t="s">
        <v>36</v>
      </c>
      <c r="AD4" s="30"/>
      <c r="AE4" s="30"/>
      <c r="AF4" s="30"/>
      <c r="AG4" s="30"/>
      <c r="AH4" s="30"/>
      <c r="AI4" s="30"/>
      <c r="AJ4" s="30"/>
      <c r="AK4" s="30"/>
      <c r="AL4" s="30"/>
      <c r="AM4" s="30"/>
    </row>
    <row r="5" spans="1:39" ht="20.25" customHeight="1" x14ac:dyDescent="0.25">
      <c r="A5" t="s">
        <v>611</v>
      </c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</row>
    <row r="6" spans="1:39" ht="15" customHeight="1" x14ac:dyDescent="0.25">
      <c r="A6" t="s">
        <v>610</v>
      </c>
      <c r="G6" s="34" t="s">
        <v>171</v>
      </c>
      <c r="H6" s="34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</row>
    <row r="7" spans="1:39" ht="15" customHeight="1" x14ac:dyDescent="0.25">
      <c r="G7" s="31" t="s">
        <v>192</v>
      </c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29"/>
      <c r="AF7" s="29"/>
      <c r="AG7" s="29"/>
      <c r="AH7" s="29"/>
      <c r="AI7" s="29"/>
      <c r="AJ7" s="29"/>
      <c r="AK7" s="29"/>
      <c r="AL7" s="29"/>
      <c r="AM7" s="29"/>
    </row>
    <row r="8" spans="1:39" ht="42.75" customHeight="1" x14ac:dyDescent="0.25">
      <c r="G8" s="33" t="s">
        <v>172</v>
      </c>
      <c r="H8" s="33" t="s">
        <v>39</v>
      </c>
      <c r="I8" s="71" t="s">
        <v>183</v>
      </c>
      <c r="J8" s="32" t="s">
        <v>184</v>
      </c>
      <c r="K8" s="32" t="s">
        <v>185</v>
      </c>
      <c r="L8" s="32" t="s">
        <v>10</v>
      </c>
      <c r="M8" s="32" t="s">
        <v>24</v>
      </c>
      <c r="N8" s="32" t="s">
        <v>25</v>
      </c>
      <c r="O8" s="32" t="s">
        <v>11</v>
      </c>
      <c r="P8" s="32" t="s">
        <v>12</v>
      </c>
      <c r="Q8" s="32" t="s">
        <v>13</v>
      </c>
      <c r="R8" s="33" t="s">
        <v>14</v>
      </c>
      <c r="S8" s="32" t="s">
        <v>177</v>
      </c>
      <c r="T8" s="32" t="s">
        <v>176</v>
      </c>
      <c r="U8" s="32" t="s">
        <v>15</v>
      </c>
      <c r="V8" s="32" t="s">
        <v>16</v>
      </c>
      <c r="W8" s="32" t="s">
        <v>17</v>
      </c>
      <c r="X8" s="32" t="s">
        <v>18</v>
      </c>
      <c r="Y8" s="32" t="s">
        <v>174</v>
      </c>
      <c r="Z8" s="32" t="s">
        <v>26</v>
      </c>
      <c r="AA8" s="32" t="s">
        <v>27</v>
      </c>
      <c r="AB8" s="32" t="s">
        <v>28</v>
      </c>
      <c r="AC8" s="32" t="s">
        <v>23</v>
      </c>
      <c r="AD8" s="32" t="s">
        <v>19</v>
      </c>
      <c r="AE8" s="72" t="s">
        <v>182</v>
      </c>
      <c r="AF8" s="72" t="s">
        <v>178</v>
      </c>
      <c r="AG8" s="72" t="s">
        <v>20</v>
      </c>
      <c r="AH8" s="32" t="s">
        <v>29</v>
      </c>
      <c r="AI8" s="32" t="s">
        <v>180</v>
      </c>
      <c r="AJ8" s="32" t="s">
        <v>31</v>
      </c>
      <c r="AK8" s="72" t="s">
        <v>181</v>
      </c>
      <c r="AL8" s="32" t="s">
        <v>168</v>
      </c>
      <c r="AM8" s="32" t="s">
        <v>30</v>
      </c>
    </row>
    <row r="9" spans="1:39" ht="14.25" x14ac:dyDescent="0.45">
      <c r="B9" s="20" t="s">
        <v>566</v>
      </c>
      <c r="C9" s="20" t="s">
        <v>568</v>
      </c>
      <c r="D9" s="20" t="s">
        <v>567</v>
      </c>
    </row>
    <row r="10" spans="1:39" ht="14.25" x14ac:dyDescent="0.45">
      <c r="B10" s="10" t="s">
        <v>40</v>
      </c>
      <c r="C10" s="15" t="s">
        <v>248</v>
      </c>
      <c r="D10" s="10" t="s">
        <v>434</v>
      </c>
      <c r="E10" s="21"/>
    </row>
    <row r="11" spans="1:39" ht="21" x14ac:dyDescent="0.25">
      <c r="B11" s="10" t="s">
        <v>41</v>
      </c>
      <c r="C11" s="10" t="s">
        <v>249</v>
      </c>
      <c r="D11" s="10" t="s">
        <v>435</v>
      </c>
      <c r="E11" s="21"/>
      <c r="G11" s="25" t="s">
        <v>231</v>
      </c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6"/>
      <c r="AE11" s="36"/>
      <c r="AF11" s="36"/>
      <c r="AG11" s="36"/>
      <c r="AH11" s="36"/>
      <c r="AI11" s="36"/>
      <c r="AJ11" s="36"/>
      <c r="AK11" s="36"/>
      <c r="AL11" s="36"/>
      <c r="AM11" s="36"/>
    </row>
    <row r="12" spans="1:39" ht="50.25" customHeight="1" x14ac:dyDescent="0.45">
      <c r="B12" s="10" t="s">
        <v>42</v>
      </c>
      <c r="C12" s="10" t="s">
        <v>250</v>
      </c>
      <c r="D12" s="10" t="s">
        <v>436</v>
      </c>
      <c r="E12" s="21"/>
      <c r="G12" s="35" t="s">
        <v>197</v>
      </c>
      <c r="H12" s="38"/>
      <c r="I12" s="38"/>
      <c r="J12" s="39"/>
      <c r="K12" s="38"/>
      <c r="L12" s="35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36"/>
      <c r="AE12" s="36"/>
      <c r="AF12" s="36"/>
      <c r="AG12" s="36"/>
      <c r="AH12" s="36"/>
      <c r="AI12" s="36"/>
      <c r="AJ12" s="36"/>
      <c r="AK12" s="36"/>
      <c r="AL12" s="36"/>
      <c r="AM12" s="36"/>
    </row>
    <row r="13" spans="1:39" ht="15" customHeight="1" x14ac:dyDescent="0.25">
      <c r="B13" s="10" t="s">
        <v>43</v>
      </c>
      <c r="C13" s="10" t="s">
        <v>251</v>
      </c>
      <c r="D13" s="10" t="s">
        <v>251</v>
      </c>
      <c r="E13" s="21"/>
      <c r="G13" s="47" t="s">
        <v>198</v>
      </c>
      <c r="H13" s="47" t="s">
        <v>199</v>
      </c>
      <c r="I13" s="70" t="s">
        <v>232</v>
      </c>
      <c r="J13" s="47" t="s">
        <v>234</v>
      </c>
      <c r="K13" s="41" t="s">
        <v>235</v>
      </c>
      <c r="L13" s="41" t="s">
        <v>241</v>
      </c>
      <c r="M13" s="41" t="s">
        <v>242</v>
      </c>
      <c r="N13" s="41" t="s">
        <v>243</v>
      </c>
      <c r="O13" s="41" t="s">
        <v>244</v>
      </c>
      <c r="P13" s="41" t="s">
        <v>246</v>
      </c>
      <c r="Q13" s="41" t="s">
        <v>247</v>
      </c>
      <c r="R13" s="41" t="s">
        <v>245</v>
      </c>
      <c r="S13" s="41" t="s">
        <v>236</v>
      </c>
      <c r="T13" s="47" t="s">
        <v>241</v>
      </c>
      <c r="U13" s="41" t="s">
        <v>242</v>
      </c>
      <c r="V13" s="41" t="s">
        <v>243</v>
      </c>
      <c r="W13" s="41" t="s">
        <v>244</v>
      </c>
      <c r="X13" s="41" t="s">
        <v>245</v>
      </c>
      <c r="Y13" s="41" t="s">
        <v>233</v>
      </c>
      <c r="Z13" s="41" t="s">
        <v>237</v>
      </c>
      <c r="AA13" s="41" t="s">
        <v>238</v>
      </c>
      <c r="AB13" s="41" t="s">
        <v>239</v>
      </c>
      <c r="AC13" s="41" t="s">
        <v>240</v>
      </c>
      <c r="AD13" s="36"/>
      <c r="AE13" s="36"/>
      <c r="AF13" s="36"/>
      <c r="AG13" s="36"/>
      <c r="AH13" s="36"/>
      <c r="AI13" s="36"/>
      <c r="AJ13" s="36"/>
      <c r="AK13" s="36"/>
      <c r="AL13" s="36"/>
      <c r="AM13" s="36"/>
    </row>
    <row r="14" spans="1:39" ht="15" customHeight="1" x14ac:dyDescent="0.25">
      <c r="B14" s="10" t="s">
        <v>44</v>
      </c>
      <c r="C14" s="10" t="s">
        <v>44</v>
      </c>
      <c r="D14" s="10" t="s">
        <v>437</v>
      </c>
      <c r="E14" s="21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</row>
    <row r="15" spans="1:39" ht="20.25" customHeight="1" x14ac:dyDescent="0.25">
      <c r="B15" s="10" t="s">
        <v>45</v>
      </c>
      <c r="C15" s="14" t="s">
        <v>252</v>
      </c>
      <c r="D15" s="10" t="s">
        <v>438</v>
      </c>
      <c r="E15" s="21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</row>
    <row r="16" spans="1:39" ht="15" customHeight="1" x14ac:dyDescent="0.25">
      <c r="B16" s="10" t="s">
        <v>46</v>
      </c>
      <c r="C16" s="10" t="s">
        <v>253</v>
      </c>
      <c r="D16" s="10" t="s">
        <v>439</v>
      </c>
      <c r="E16" s="21"/>
      <c r="G16" s="48" t="s">
        <v>196</v>
      </c>
      <c r="H16" s="48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</row>
    <row r="17" spans="2:39" x14ac:dyDescent="0.25">
      <c r="B17" s="10" t="s">
        <v>47</v>
      </c>
      <c r="C17" s="10" t="s">
        <v>254</v>
      </c>
      <c r="D17" s="10" t="s">
        <v>440</v>
      </c>
      <c r="E17" s="21"/>
      <c r="G17" s="37" t="s">
        <v>197</v>
      </c>
      <c r="H17" s="37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5"/>
      <c r="AF17" s="35"/>
      <c r="AG17" s="35"/>
      <c r="AH17" s="35"/>
      <c r="AI17" s="35"/>
      <c r="AJ17" s="35"/>
      <c r="AK17" s="35"/>
      <c r="AL17" s="35"/>
      <c r="AM17" s="35"/>
    </row>
    <row r="18" spans="2:39" ht="60" x14ac:dyDescent="0.25">
      <c r="B18" s="10" t="s">
        <v>48</v>
      </c>
      <c r="C18" s="10" t="s">
        <v>255</v>
      </c>
      <c r="D18" s="10" t="s">
        <v>441</v>
      </c>
      <c r="E18" s="21"/>
      <c r="G18" s="42" t="s">
        <v>198</v>
      </c>
      <c r="H18" s="42" t="s">
        <v>199</v>
      </c>
      <c r="I18" s="40" t="s">
        <v>200</v>
      </c>
      <c r="J18" s="43" t="s">
        <v>201</v>
      </c>
      <c r="K18" s="43" t="s">
        <v>203</v>
      </c>
      <c r="L18" s="43" t="s">
        <v>207</v>
      </c>
      <c r="M18" s="46" t="s">
        <v>221</v>
      </c>
      <c r="N18" s="46" t="s">
        <v>222</v>
      </c>
      <c r="O18" s="46" t="s">
        <v>223</v>
      </c>
      <c r="P18" s="46" t="s">
        <v>224</v>
      </c>
      <c r="Q18" s="43" t="s">
        <v>208</v>
      </c>
      <c r="R18" s="49" t="s">
        <v>225</v>
      </c>
      <c r="S18" s="44" t="s">
        <v>229</v>
      </c>
      <c r="T18" s="45" t="s">
        <v>230</v>
      </c>
      <c r="U18" s="46" t="s">
        <v>226</v>
      </c>
      <c r="V18" s="46" t="s">
        <v>227</v>
      </c>
      <c r="W18" s="46" t="s">
        <v>228</v>
      </c>
      <c r="X18" s="43" t="s">
        <v>209</v>
      </c>
      <c r="Y18" s="43" t="s">
        <v>204</v>
      </c>
      <c r="Z18" s="43" t="s">
        <v>210</v>
      </c>
      <c r="AA18" s="43" t="s">
        <v>211</v>
      </c>
      <c r="AB18" s="43" t="s">
        <v>212</v>
      </c>
      <c r="AC18" s="43" t="s">
        <v>213</v>
      </c>
      <c r="AD18" s="43" t="s">
        <v>214</v>
      </c>
      <c r="AE18" s="50" t="s">
        <v>202</v>
      </c>
      <c r="AF18" s="50" t="s">
        <v>205</v>
      </c>
      <c r="AG18" s="50" t="s">
        <v>215</v>
      </c>
      <c r="AH18" s="43" t="s">
        <v>216</v>
      </c>
      <c r="AI18" s="43" t="s">
        <v>217</v>
      </c>
      <c r="AJ18" s="43" t="s">
        <v>218</v>
      </c>
      <c r="AK18" s="50" t="s">
        <v>206</v>
      </c>
      <c r="AL18" s="43" t="s">
        <v>219</v>
      </c>
      <c r="AM18" s="43" t="s">
        <v>220</v>
      </c>
    </row>
    <row r="19" spans="2:39" x14ac:dyDescent="0.25">
      <c r="B19" s="10" t="s">
        <v>49</v>
      </c>
      <c r="C19" s="10" t="s">
        <v>256</v>
      </c>
      <c r="D19" s="10" t="s">
        <v>442</v>
      </c>
      <c r="E19" s="21"/>
    </row>
    <row r="20" spans="2:39" x14ac:dyDescent="0.25">
      <c r="B20" s="10" t="s">
        <v>50</v>
      </c>
      <c r="C20" s="10" t="s">
        <v>257</v>
      </c>
      <c r="D20" s="10" t="s">
        <v>443</v>
      </c>
      <c r="E20" s="21"/>
    </row>
    <row r="21" spans="2:39" ht="21" x14ac:dyDescent="0.25">
      <c r="B21" s="10" t="s">
        <v>175</v>
      </c>
      <c r="C21" s="10" t="s">
        <v>258</v>
      </c>
      <c r="D21" s="10" t="s">
        <v>444</v>
      </c>
      <c r="E21" s="21"/>
      <c r="G21" s="27" t="s">
        <v>380</v>
      </c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2"/>
      <c r="AE21" s="52"/>
      <c r="AF21" s="52"/>
      <c r="AG21" s="52"/>
      <c r="AH21" s="52"/>
      <c r="AI21" s="52"/>
      <c r="AJ21" s="52"/>
      <c r="AK21" s="52"/>
      <c r="AL21" s="52"/>
      <c r="AM21" s="52"/>
    </row>
    <row r="22" spans="2:39" ht="42.75" customHeight="1" x14ac:dyDescent="0.25">
      <c r="B22" s="11" t="s">
        <v>9</v>
      </c>
      <c r="C22" s="11" t="s">
        <v>259</v>
      </c>
      <c r="D22" s="11" t="s">
        <v>445</v>
      </c>
      <c r="E22" s="22"/>
      <c r="G22" s="51" t="s">
        <v>381</v>
      </c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2"/>
      <c r="AE22" s="52"/>
      <c r="AF22" s="52"/>
      <c r="AG22" s="52"/>
      <c r="AH22" s="52"/>
      <c r="AI22" s="52"/>
      <c r="AJ22" s="52"/>
      <c r="AK22" s="52"/>
      <c r="AL22" s="52"/>
      <c r="AM22" s="52"/>
    </row>
    <row r="23" spans="2:39" ht="15" customHeight="1" x14ac:dyDescent="0.25">
      <c r="B23" s="10" t="s">
        <v>51</v>
      </c>
      <c r="C23" s="10" t="s">
        <v>260</v>
      </c>
      <c r="D23" s="10" t="s">
        <v>446</v>
      </c>
      <c r="E23" s="21"/>
      <c r="G23" s="58" t="s">
        <v>382</v>
      </c>
      <c r="H23" s="56" t="s">
        <v>383</v>
      </c>
      <c r="I23" s="59" t="s">
        <v>384</v>
      </c>
      <c r="J23" s="53" t="s">
        <v>386</v>
      </c>
      <c r="K23" s="60" t="s">
        <v>387</v>
      </c>
      <c r="L23" s="58" t="s">
        <v>393</v>
      </c>
      <c r="M23" s="58" t="s">
        <v>394</v>
      </c>
      <c r="N23" s="58" t="s">
        <v>395</v>
      </c>
      <c r="O23" s="61" t="s">
        <v>396</v>
      </c>
      <c r="P23" s="58" t="s">
        <v>398</v>
      </c>
      <c r="Q23" s="57" t="s">
        <v>399</v>
      </c>
      <c r="R23" s="62" t="s">
        <v>397</v>
      </c>
      <c r="S23" s="55" t="s">
        <v>388</v>
      </c>
      <c r="T23" s="62" t="s">
        <v>393</v>
      </c>
      <c r="U23" s="62" t="s">
        <v>394</v>
      </c>
      <c r="V23" s="62" t="s">
        <v>395</v>
      </c>
      <c r="W23" s="62" t="s">
        <v>396</v>
      </c>
      <c r="X23" s="63" t="s">
        <v>397</v>
      </c>
      <c r="Y23" s="55" t="s">
        <v>385</v>
      </c>
      <c r="Z23" s="58" t="s">
        <v>389</v>
      </c>
      <c r="AA23" s="58" t="s">
        <v>390</v>
      </c>
      <c r="AB23" s="58" t="s">
        <v>391</v>
      </c>
      <c r="AC23" s="58" t="s">
        <v>392</v>
      </c>
      <c r="AD23" s="52"/>
      <c r="AE23" s="52"/>
      <c r="AF23" s="52"/>
      <c r="AG23" s="52"/>
      <c r="AH23" s="52"/>
      <c r="AI23" s="52"/>
      <c r="AJ23" s="52"/>
      <c r="AK23" s="52"/>
      <c r="AL23" s="52"/>
      <c r="AM23" s="52"/>
    </row>
    <row r="24" spans="2:39" ht="15" customHeight="1" x14ac:dyDescent="0.25">
      <c r="B24" s="10" t="s">
        <v>52</v>
      </c>
      <c r="C24" s="10" t="s">
        <v>261</v>
      </c>
      <c r="D24" s="10" t="s">
        <v>447</v>
      </c>
      <c r="E24" s="21"/>
      <c r="G24" s="54"/>
      <c r="H24" s="54"/>
      <c r="I24" s="73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2"/>
      <c r="AE24" s="52"/>
      <c r="AF24" s="52"/>
      <c r="AG24" s="52"/>
      <c r="AH24" s="52"/>
      <c r="AI24" s="52"/>
      <c r="AJ24" s="52"/>
      <c r="AK24" s="52"/>
      <c r="AL24" s="52"/>
      <c r="AM24" s="52"/>
    </row>
    <row r="25" spans="2:39" ht="15" customHeight="1" x14ac:dyDescent="0.25">
      <c r="B25" s="10" t="s">
        <v>53</v>
      </c>
      <c r="C25" s="10" t="s">
        <v>262</v>
      </c>
      <c r="D25" s="10" t="s">
        <v>448</v>
      </c>
      <c r="E25" s="21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</row>
    <row r="26" spans="2:39" ht="21" x14ac:dyDescent="0.25">
      <c r="B26" s="10" t="s">
        <v>54</v>
      </c>
      <c r="C26" s="10" t="s">
        <v>263</v>
      </c>
      <c r="D26" s="10" t="s">
        <v>263</v>
      </c>
      <c r="E26" s="21"/>
      <c r="G26" s="64" t="s">
        <v>400</v>
      </c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</row>
    <row r="27" spans="2:39" x14ac:dyDescent="0.25">
      <c r="B27" s="10" t="s">
        <v>55</v>
      </c>
      <c r="C27" s="10" t="s">
        <v>55</v>
      </c>
      <c r="D27" s="10" t="s">
        <v>449</v>
      </c>
      <c r="E27" s="21"/>
      <c r="G27" s="65" t="s">
        <v>401</v>
      </c>
      <c r="H27" s="65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51"/>
      <c r="AF27" s="51"/>
      <c r="AG27" s="51"/>
      <c r="AH27" s="51"/>
      <c r="AI27" s="51"/>
      <c r="AJ27" s="51"/>
      <c r="AK27" s="51"/>
      <c r="AL27" s="51"/>
      <c r="AM27" s="51"/>
    </row>
    <row r="28" spans="2:39" ht="60" x14ac:dyDescent="0.25">
      <c r="B28" s="10" t="s">
        <v>56</v>
      </c>
      <c r="C28" s="10" t="s">
        <v>264</v>
      </c>
      <c r="D28" s="10" t="s">
        <v>450</v>
      </c>
      <c r="E28" s="21"/>
      <c r="G28" s="67" t="s">
        <v>382</v>
      </c>
      <c r="H28" s="67" t="s">
        <v>402</v>
      </c>
      <c r="I28" s="68" t="s">
        <v>403</v>
      </c>
      <c r="J28" s="58" t="s">
        <v>404</v>
      </c>
      <c r="K28" s="58" t="s">
        <v>406</v>
      </c>
      <c r="L28" s="58" t="s">
        <v>410</v>
      </c>
      <c r="M28" s="58" t="s">
        <v>424</v>
      </c>
      <c r="N28" s="58" t="s">
        <v>425</v>
      </c>
      <c r="O28" s="58" t="s">
        <v>426</v>
      </c>
      <c r="P28" s="58" t="s">
        <v>427</v>
      </c>
      <c r="Q28" s="58" t="s">
        <v>411</v>
      </c>
      <c r="R28" s="67" t="s">
        <v>428</v>
      </c>
      <c r="S28" s="58" t="s">
        <v>432</v>
      </c>
      <c r="T28" s="67" t="s">
        <v>433</v>
      </c>
      <c r="U28" s="58" t="s">
        <v>429</v>
      </c>
      <c r="V28" s="58" t="s">
        <v>430</v>
      </c>
      <c r="W28" s="58" t="s">
        <v>431</v>
      </c>
      <c r="X28" s="58" t="s">
        <v>412</v>
      </c>
      <c r="Y28" s="58" t="s">
        <v>407</v>
      </c>
      <c r="Z28" s="58" t="s">
        <v>413</v>
      </c>
      <c r="AA28" s="58" t="s">
        <v>414</v>
      </c>
      <c r="AB28" s="58" t="s">
        <v>415</v>
      </c>
      <c r="AC28" s="58" t="s">
        <v>416</v>
      </c>
      <c r="AD28" s="58" t="s">
        <v>417</v>
      </c>
      <c r="AE28" s="69" t="s">
        <v>405</v>
      </c>
      <c r="AF28" s="69" t="s">
        <v>408</v>
      </c>
      <c r="AG28" s="69" t="s">
        <v>418</v>
      </c>
      <c r="AH28" s="58" t="s">
        <v>419</v>
      </c>
      <c r="AI28" s="58" t="s">
        <v>420</v>
      </c>
      <c r="AJ28" s="58" t="s">
        <v>421</v>
      </c>
      <c r="AK28" s="69" t="s">
        <v>409</v>
      </c>
      <c r="AL28" s="58" t="s">
        <v>422</v>
      </c>
      <c r="AM28" s="58" t="s">
        <v>423</v>
      </c>
    </row>
    <row r="29" spans="2:39" x14ac:dyDescent="0.25">
      <c r="B29" s="10" t="s">
        <v>57</v>
      </c>
      <c r="C29" s="10" t="s">
        <v>265</v>
      </c>
      <c r="D29" s="10" t="s">
        <v>451</v>
      </c>
      <c r="E29" s="21"/>
    </row>
    <row r="30" spans="2:39" x14ac:dyDescent="0.25">
      <c r="B30" s="10" t="s">
        <v>58</v>
      </c>
      <c r="C30" s="10" t="s">
        <v>266</v>
      </c>
      <c r="D30" s="10" t="s">
        <v>452</v>
      </c>
      <c r="E30" s="21"/>
    </row>
    <row r="31" spans="2:39" x14ac:dyDescent="0.25">
      <c r="B31" s="10" t="s">
        <v>59</v>
      </c>
      <c r="C31" s="10" t="s">
        <v>267</v>
      </c>
      <c r="D31" s="10" t="s">
        <v>453</v>
      </c>
      <c r="E31" s="21"/>
    </row>
    <row r="32" spans="2:39" ht="15" customHeight="1" x14ac:dyDescent="0.25">
      <c r="B32" s="10" t="s">
        <v>60</v>
      </c>
      <c r="C32" s="10" t="s">
        <v>268</v>
      </c>
      <c r="D32" s="10" t="s">
        <v>454</v>
      </c>
      <c r="E32" s="21"/>
    </row>
    <row r="33" spans="2:7" ht="15" customHeight="1" x14ac:dyDescent="0.25">
      <c r="B33" s="10" t="s">
        <v>61</v>
      </c>
      <c r="C33" s="10" t="s">
        <v>269</v>
      </c>
      <c r="D33" s="10" t="s">
        <v>455</v>
      </c>
      <c r="E33" s="21"/>
    </row>
    <row r="34" spans="2:7" ht="15" customHeight="1" x14ac:dyDescent="0.25">
      <c r="B34" s="10" t="s">
        <v>62</v>
      </c>
      <c r="C34" s="10" t="s">
        <v>270</v>
      </c>
      <c r="D34" s="10" t="s">
        <v>456</v>
      </c>
      <c r="E34" s="21"/>
    </row>
    <row r="35" spans="2:7" ht="15" customHeight="1" x14ac:dyDescent="0.25">
      <c r="B35" s="11" t="s">
        <v>8</v>
      </c>
      <c r="C35" s="11" t="s">
        <v>271</v>
      </c>
      <c r="D35" s="11" t="s">
        <v>457</v>
      </c>
      <c r="E35" s="22"/>
      <c r="G35"/>
    </row>
    <row r="36" spans="2:7" x14ac:dyDescent="0.25">
      <c r="B36" s="10" t="s">
        <v>63</v>
      </c>
      <c r="C36" s="10" t="s">
        <v>272</v>
      </c>
      <c r="D36" s="10" t="s">
        <v>458</v>
      </c>
      <c r="E36" s="21"/>
    </row>
    <row r="37" spans="2:7" x14ac:dyDescent="0.25">
      <c r="B37" s="10" t="s">
        <v>64</v>
      </c>
      <c r="C37" s="10" t="s">
        <v>273</v>
      </c>
      <c r="D37" s="10" t="s">
        <v>459</v>
      </c>
      <c r="E37" s="21"/>
    </row>
    <row r="38" spans="2:7" x14ac:dyDescent="0.25">
      <c r="B38" s="10" t="s">
        <v>65</v>
      </c>
      <c r="C38" s="10" t="s">
        <v>274</v>
      </c>
      <c r="D38" s="10" t="s">
        <v>460</v>
      </c>
      <c r="E38" s="21"/>
    </row>
    <row r="39" spans="2:7" x14ac:dyDescent="0.25">
      <c r="B39" s="10" t="s">
        <v>66</v>
      </c>
      <c r="C39" s="10" t="s">
        <v>275</v>
      </c>
      <c r="D39" s="10" t="s">
        <v>275</v>
      </c>
      <c r="E39" s="21"/>
    </row>
    <row r="40" spans="2:7" x14ac:dyDescent="0.25">
      <c r="B40" s="10" t="s">
        <v>67</v>
      </c>
      <c r="C40" s="10" t="s">
        <v>67</v>
      </c>
      <c r="D40" s="10" t="s">
        <v>461</v>
      </c>
      <c r="E40" s="21"/>
    </row>
    <row r="41" spans="2:7" ht="34.5" customHeight="1" x14ac:dyDescent="0.25">
      <c r="B41" s="10" t="s">
        <v>68</v>
      </c>
      <c r="C41" s="10" t="s">
        <v>276</v>
      </c>
      <c r="D41" s="10" t="s">
        <v>462</v>
      </c>
      <c r="E41" s="21"/>
    </row>
    <row r="42" spans="2:7" ht="15" customHeight="1" x14ac:dyDescent="0.25">
      <c r="B42" s="10" t="s">
        <v>69</v>
      </c>
      <c r="C42" s="10" t="s">
        <v>277</v>
      </c>
      <c r="D42" s="10" t="s">
        <v>463</v>
      </c>
      <c r="E42" s="21"/>
    </row>
    <row r="43" spans="2:7" ht="15" customHeight="1" x14ac:dyDescent="0.25">
      <c r="B43" s="10" t="s">
        <v>70</v>
      </c>
      <c r="C43" s="10" t="s">
        <v>278</v>
      </c>
      <c r="D43" s="10" t="s">
        <v>464</v>
      </c>
      <c r="E43" s="21"/>
    </row>
    <row r="44" spans="2:7" ht="15" customHeight="1" x14ac:dyDescent="0.25">
      <c r="B44" s="10" t="s">
        <v>71</v>
      </c>
      <c r="C44" s="10" t="s">
        <v>279</v>
      </c>
      <c r="D44" s="10" t="s">
        <v>465</v>
      </c>
      <c r="E44" s="21"/>
    </row>
    <row r="45" spans="2:7" ht="47.25" customHeight="1" x14ac:dyDescent="0.25">
      <c r="B45" s="10" t="s">
        <v>72</v>
      </c>
      <c r="C45" s="10" t="s">
        <v>280</v>
      </c>
      <c r="D45" s="10" t="s">
        <v>466</v>
      </c>
      <c r="E45" s="21"/>
    </row>
    <row r="46" spans="2:7" x14ac:dyDescent="0.25">
      <c r="B46" s="10" t="s">
        <v>73</v>
      </c>
      <c r="C46" s="10" t="s">
        <v>281</v>
      </c>
      <c r="D46" s="10" t="s">
        <v>467</v>
      </c>
      <c r="E46" s="21"/>
    </row>
    <row r="47" spans="2:7" x14ac:dyDescent="0.25">
      <c r="B47" s="10" t="s">
        <v>74</v>
      </c>
      <c r="C47" s="10" t="s">
        <v>282</v>
      </c>
      <c r="D47" s="10" t="s">
        <v>468</v>
      </c>
      <c r="E47" s="21"/>
    </row>
    <row r="48" spans="2:7" x14ac:dyDescent="0.25">
      <c r="B48" s="11" t="s">
        <v>7</v>
      </c>
      <c r="C48" s="11" t="s">
        <v>283</v>
      </c>
      <c r="D48" s="11" t="s">
        <v>469</v>
      </c>
      <c r="E48" s="22"/>
    </row>
    <row r="49" spans="2:5" ht="42.75" customHeight="1" x14ac:dyDescent="0.25">
      <c r="B49" s="10" t="s">
        <v>75</v>
      </c>
      <c r="C49" s="10" t="s">
        <v>284</v>
      </c>
      <c r="D49" s="10" t="s">
        <v>470</v>
      </c>
      <c r="E49" s="21"/>
    </row>
    <row r="50" spans="2:5" ht="15" customHeight="1" x14ac:dyDescent="0.25">
      <c r="B50" s="10" t="s">
        <v>76</v>
      </c>
      <c r="C50" s="10" t="s">
        <v>285</v>
      </c>
      <c r="D50" s="10" t="s">
        <v>471</v>
      </c>
      <c r="E50" s="21"/>
    </row>
    <row r="51" spans="2:5" ht="15" customHeight="1" x14ac:dyDescent="0.25">
      <c r="B51" s="10" t="s">
        <v>77</v>
      </c>
      <c r="C51" s="10" t="s">
        <v>286</v>
      </c>
      <c r="D51" s="10" t="s">
        <v>472</v>
      </c>
      <c r="E51" s="21"/>
    </row>
    <row r="52" spans="2:5" ht="15" customHeight="1" x14ac:dyDescent="0.25">
      <c r="B52" s="10" t="s">
        <v>78</v>
      </c>
      <c r="C52" s="10" t="s">
        <v>287</v>
      </c>
      <c r="D52" s="10" t="s">
        <v>287</v>
      </c>
      <c r="E52" s="21"/>
    </row>
    <row r="53" spans="2:5" ht="15" customHeight="1" x14ac:dyDescent="0.25">
      <c r="B53" s="10" t="s">
        <v>79</v>
      </c>
      <c r="C53" s="10" t="s">
        <v>79</v>
      </c>
      <c r="D53" s="10" t="s">
        <v>473</v>
      </c>
      <c r="E53" s="21"/>
    </row>
    <row r="54" spans="2:5" ht="22.5" customHeight="1" x14ac:dyDescent="0.25">
      <c r="B54" s="10" t="s">
        <v>80</v>
      </c>
      <c r="C54" s="10" t="s">
        <v>288</v>
      </c>
      <c r="D54" s="10" t="s">
        <v>474</v>
      </c>
      <c r="E54" s="21"/>
    </row>
    <row r="55" spans="2:5" x14ac:dyDescent="0.25">
      <c r="B55" s="10" t="s">
        <v>81</v>
      </c>
      <c r="C55" s="10" t="s">
        <v>289</v>
      </c>
      <c r="D55" s="10" t="s">
        <v>475</v>
      </c>
      <c r="E55" s="21"/>
    </row>
    <row r="56" spans="2:5" x14ac:dyDescent="0.25">
      <c r="B56" s="10" t="s">
        <v>82</v>
      </c>
      <c r="C56" s="10" t="s">
        <v>290</v>
      </c>
      <c r="D56" s="10" t="s">
        <v>476</v>
      </c>
      <c r="E56" s="21"/>
    </row>
    <row r="57" spans="2:5" x14ac:dyDescent="0.25">
      <c r="B57" s="10" t="s">
        <v>83</v>
      </c>
      <c r="C57" s="10" t="s">
        <v>291</v>
      </c>
      <c r="D57" s="10" t="s">
        <v>477</v>
      </c>
      <c r="E57" s="21"/>
    </row>
    <row r="58" spans="2:5" x14ac:dyDescent="0.25">
      <c r="B58" s="10" t="s">
        <v>84</v>
      </c>
      <c r="C58" s="10" t="s">
        <v>292</v>
      </c>
      <c r="D58" s="10" t="s">
        <v>478</v>
      </c>
      <c r="E58" s="21"/>
    </row>
    <row r="59" spans="2:5" x14ac:dyDescent="0.25">
      <c r="B59" s="10" t="s">
        <v>85</v>
      </c>
      <c r="C59" s="10" t="s">
        <v>293</v>
      </c>
      <c r="D59" s="10" t="s">
        <v>479</v>
      </c>
      <c r="E59" s="21"/>
    </row>
    <row r="60" spans="2:5" x14ac:dyDescent="0.25">
      <c r="B60" s="10" t="s">
        <v>86</v>
      </c>
      <c r="C60" s="10" t="s">
        <v>294</v>
      </c>
      <c r="D60" s="10" t="s">
        <v>480</v>
      </c>
      <c r="E60" s="21"/>
    </row>
    <row r="61" spans="2:5" x14ac:dyDescent="0.25">
      <c r="B61" s="11" t="s">
        <v>6</v>
      </c>
      <c r="C61" s="11" t="s">
        <v>295</v>
      </c>
      <c r="D61" s="11" t="s">
        <v>481</v>
      </c>
      <c r="E61" s="22"/>
    </row>
    <row r="62" spans="2:5" x14ac:dyDescent="0.25">
      <c r="B62" s="10" t="s">
        <v>87</v>
      </c>
      <c r="C62" s="10" t="s">
        <v>296</v>
      </c>
      <c r="D62" s="10" t="s">
        <v>482</v>
      </c>
      <c r="E62" s="21"/>
    </row>
    <row r="63" spans="2:5" x14ac:dyDescent="0.25">
      <c r="B63" s="10" t="s">
        <v>88</v>
      </c>
      <c r="C63" s="10" t="s">
        <v>297</v>
      </c>
      <c r="D63" s="10" t="s">
        <v>483</v>
      </c>
      <c r="E63" s="21"/>
    </row>
    <row r="64" spans="2:5" x14ac:dyDescent="0.25">
      <c r="B64" s="10" t="s">
        <v>89</v>
      </c>
      <c r="C64" s="10" t="s">
        <v>298</v>
      </c>
      <c r="D64" s="10" t="s">
        <v>484</v>
      </c>
      <c r="E64" s="21"/>
    </row>
    <row r="65" spans="2:5" x14ac:dyDescent="0.25">
      <c r="B65" s="10" t="s">
        <v>90</v>
      </c>
      <c r="C65" s="10" t="s">
        <v>299</v>
      </c>
      <c r="D65" s="10" t="s">
        <v>299</v>
      </c>
      <c r="E65" s="21"/>
    </row>
    <row r="66" spans="2:5" x14ac:dyDescent="0.25">
      <c r="B66" s="10" t="s">
        <v>91</v>
      </c>
      <c r="C66" s="10" t="s">
        <v>91</v>
      </c>
      <c r="D66" s="10" t="s">
        <v>485</v>
      </c>
      <c r="E66" s="21"/>
    </row>
    <row r="67" spans="2:5" x14ac:dyDescent="0.25">
      <c r="B67" s="10" t="s">
        <v>92</v>
      </c>
      <c r="C67" s="10" t="s">
        <v>300</v>
      </c>
      <c r="D67" s="10" t="s">
        <v>486</v>
      </c>
      <c r="E67" s="21"/>
    </row>
    <row r="68" spans="2:5" x14ac:dyDescent="0.25">
      <c r="B68" s="10" t="s">
        <v>93</v>
      </c>
      <c r="C68" s="10" t="s">
        <v>301</v>
      </c>
      <c r="D68" s="10" t="s">
        <v>487</v>
      </c>
      <c r="E68" s="21"/>
    </row>
    <row r="69" spans="2:5" x14ac:dyDescent="0.25">
      <c r="B69" s="10" t="s">
        <v>94</v>
      </c>
      <c r="C69" s="10" t="s">
        <v>302</v>
      </c>
      <c r="D69" s="10" t="s">
        <v>488</v>
      </c>
      <c r="E69" s="21"/>
    </row>
    <row r="70" spans="2:5" x14ac:dyDescent="0.25">
      <c r="B70" s="10" t="s">
        <v>95</v>
      </c>
      <c r="C70" s="10" t="s">
        <v>303</v>
      </c>
      <c r="D70" s="10" t="s">
        <v>489</v>
      </c>
      <c r="E70" s="21"/>
    </row>
    <row r="71" spans="2:5" x14ac:dyDescent="0.25">
      <c r="B71" s="10" t="s">
        <v>96</v>
      </c>
      <c r="C71" s="10" t="s">
        <v>304</v>
      </c>
      <c r="D71" s="10" t="s">
        <v>490</v>
      </c>
      <c r="E71" s="21"/>
    </row>
    <row r="72" spans="2:5" x14ac:dyDescent="0.25">
      <c r="B72" s="10" t="s">
        <v>97</v>
      </c>
      <c r="C72" s="10" t="s">
        <v>305</v>
      </c>
      <c r="D72" s="10" t="s">
        <v>491</v>
      </c>
      <c r="E72" s="21"/>
    </row>
    <row r="73" spans="2:5" x14ac:dyDescent="0.25">
      <c r="B73" s="10" t="s">
        <v>98</v>
      </c>
      <c r="C73" s="10" t="s">
        <v>306</v>
      </c>
      <c r="D73" s="10" t="s">
        <v>492</v>
      </c>
      <c r="E73" s="21"/>
    </row>
    <row r="74" spans="2:5" x14ac:dyDescent="0.25">
      <c r="B74" s="11" t="s">
        <v>5</v>
      </c>
      <c r="C74" s="11" t="s">
        <v>307</v>
      </c>
      <c r="D74" s="11" t="s">
        <v>493</v>
      </c>
      <c r="E74" s="22"/>
    </row>
    <row r="75" spans="2:5" x14ac:dyDescent="0.25">
      <c r="B75" s="10" t="s">
        <v>99</v>
      </c>
      <c r="C75" s="10" t="s">
        <v>308</v>
      </c>
      <c r="D75" s="10" t="s">
        <v>494</v>
      </c>
      <c r="E75" s="21"/>
    </row>
    <row r="76" spans="2:5" x14ac:dyDescent="0.25">
      <c r="B76" s="10" t="s">
        <v>100</v>
      </c>
      <c r="C76" s="10" t="s">
        <v>309</v>
      </c>
      <c r="D76" s="10" t="s">
        <v>495</v>
      </c>
      <c r="E76" s="21"/>
    </row>
    <row r="77" spans="2:5" x14ac:dyDescent="0.25">
      <c r="B77" s="10" t="s">
        <v>101</v>
      </c>
      <c r="C77" s="10" t="s">
        <v>310</v>
      </c>
      <c r="D77" s="10" t="s">
        <v>496</v>
      </c>
      <c r="E77" s="21"/>
    </row>
    <row r="78" spans="2:5" x14ac:dyDescent="0.25">
      <c r="B78" s="10" t="s">
        <v>102</v>
      </c>
      <c r="C78" s="10" t="s">
        <v>311</v>
      </c>
      <c r="D78" s="10" t="s">
        <v>311</v>
      </c>
      <c r="E78" s="21"/>
    </row>
    <row r="79" spans="2:5" x14ac:dyDescent="0.25">
      <c r="B79" s="10" t="s">
        <v>103</v>
      </c>
      <c r="C79" s="10" t="s">
        <v>103</v>
      </c>
      <c r="D79" s="10" t="s">
        <v>497</v>
      </c>
      <c r="E79" s="21"/>
    </row>
    <row r="80" spans="2:5" x14ac:dyDescent="0.25">
      <c r="B80" s="10" t="s">
        <v>104</v>
      </c>
      <c r="C80" s="10" t="s">
        <v>312</v>
      </c>
      <c r="D80" s="10" t="s">
        <v>498</v>
      </c>
      <c r="E80" s="21"/>
    </row>
    <row r="81" spans="2:5" x14ac:dyDescent="0.25">
      <c r="B81" s="10" t="s">
        <v>105</v>
      </c>
      <c r="C81" s="10" t="s">
        <v>313</v>
      </c>
      <c r="D81" s="10" t="s">
        <v>499</v>
      </c>
      <c r="E81" s="21"/>
    </row>
    <row r="82" spans="2:5" x14ac:dyDescent="0.25">
      <c r="B82" s="10" t="s">
        <v>106</v>
      </c>
      <c r="C82" s="10" t="s">
        <v>314</v>
      </c>
      <c r="D82" s="10" t="s">
        <v>500</v>
      </c>
      <c r="E82" s="21"/>
    </row>
    <row r="83" spans="2:5" x14ac:dyDescent="0.25">
      <c r="B83" s="10" t="s">
        <v>107</v>
      </c>
      <c r="C83" s="10" t="s">
        <v>315</v>
      </c>
      <c r="D83" s="10" t="s">
        <v>501</v>
      </c>
      <c r="E83" s="21"/>
    </row>
    <row r="84" spans="2:5" x14ac:dyDescent="0.25">
      <c r="B84" s="10" t="s">
        <v>108</v>
      </c>
      <c r="C84" s="10" t="s">
        <v>316</v>
      </c>
      <c r="D84" s="10" t="s">
        <v>502</v>
      </c>
      <c r="E84" s="21"/>
    </row>
    <row r="85" spans="2:5" x14ac:dyDescent="0.25">
      <c r="B85" s="10" t="s">
        <v>109</v>
      </c>
      <c r="C85" s="10" t="s">
        <v>317</v>
      </c>
      <c r="D85" s="10" t="s">
        <v>503</v>
      </c>
      <c r="E85" s="21"/>
    </row>
    <row r="86" spans="2:5" x14ac:dyDescent="0.25">
      <c r="B86" s="10" t="s">
        <v>110</v>
      </c>
      <c r="C86" s="10" t="s">
        <v>318</v>
      </c>
      <c r="D86" s="10" t="s">
        <v>504</v>
      </c>
      <c r="E86" s="21"/>
    </row>
    <row r="87" spans="2:5" x14ac:dyDescent="0.25">
      <c r="B87" s="11" t="s">
        <v>187</v>
      </c>
      <c r="C87" s="11" t="s">
        <v>319</v>
      </c>
      <c r="D87" s="11" t="s">
        <v>505</v>
      </c>
      <c r="E87" s="22"/>
    </row>
    <row r="88" spans="2:5" x14ac:dyDescent="0.25">
      <c r="B88" s="10" t="s">
        <v>111</v>
      </c>
      <c r="C88" s="10" t="s">
        <v>320</v>
      </c>
      <c r="D88" s="10" t="s">
        <v>506</v>
      </c>
      <c r="E88" s="21"/>
    </row>
    <row r="89" spans="2:5" x14ac:dyDescent="0.25">
      <c r="B89" s="10" t="s">
        <v>112</v>
      </c>
      <c r="C89" s="10" t="s">
        <v>321</v>
      </c>
      <c r="D89" s="10" t="s">
        <v>507</v>
      </c>
      <c r="E89" s="21"/>
    </row>
    <row r="90" spans="2:5" x14ac:dyDescent="0.25">
      <c r="B90" s="10" t="s">
        <v>113</v>
      </c>
      <c r="C90" s="10" t="s">
        <v>322</v>
      </c>
      <c r="D90" s="10" t="s">
        <v>508</v>
      </c>
      <c r="E90" s="21"/>
    </row>
    <row r="91" spans="2:5" x14ac:dyDescent="0.25">
      <c r="B91" s="10" t="s">
        <v>114</v>
      </c>
      <c r="C91" s="10" t="s">
        <v>323</v>
      </c>
      <c r="D91" s="10" t="s">
        <v>323</v>
      </c>
      <c r="E91" s="21"/>
    </row>
    <row r="92" spans="2:5" x14ac:dyDescent="0.25">
      <c r="B92" s="10" t="s">
        <v>115</v>
      </c>
      <c r="C92" s="10" t="s">
        <v>115</v>
      </c>
      <c r="D92" s="10" t="s">
        <v>509</v>
      </c>
      <c r="E92" s="21"/>
    </row>
    <row r="93" spans="2:5" x14ac:dyDescent="0.25">
      <c r="B93" s="10" t="s">
        <v>116</v>
      </c>
      <c r="C93" s="10" t="s">
        <v>324</v>
      </c>
      <c r="D93" s="10" t="s">
        <v>510</v>
      </c>
      <c r="E93" s="21"/>
    </row>
    <row r="94" spans="2:5" x14ac:dyDescent="0.25">
      <c r="B94" s="10" t="s">
        <v>117</v>
      </c>
      <c r="C94" s="10" t="s">
        <v>325</v>
      </c>
      <c r="D94" s="10" t="s">
        <v>511</v>
      </c>
      <c r="E94" s="21"/>
    </row>
    <row r="95" spans="2:5" x14ac:dyDescent="0.25">
      <c r="B95" s="10" t="s">
        <v>118</v>
      </c>
      <c r="C95" s="10" t="s">
        <v>326</v>
      </c>
      <c r="D95" s="10" t="s">
        <v>512</v>
      </c>
      <c r="E95" s="21"/>
    </row>
    <row r="96" spans="2:5" x14ac:dyDescent="0.25">
      <c r="B96" s="10" t="s">
        <v>119</v>
      </c>
      <c r="C96" s="10" t="s">
        <v>327</v>
      </c>
      <c r="D96" s="10" t="s">
        <v>513</v>
      </c>
      <c r="E96" s="21"/>
    </row>
    <row r="97" spans="2:5" x14ac:dyDescent="0.25">
      <c r="B97" s="10" t="s">
        <v>120</v>
      </c>
      <c r="C97" s="10" t="s">
        <v>328</v>
      </c>
      <c r="D97" s="10" t="s">
        <v>514</v>
      </c>
      <c r="E97" s="21"/>
    </row>
    <row r="98" spans="2:5" x14ac:dyDescent="0.25">
      <c r="B98" s="10" t="s">
        <v>121</v>
      </c>
      <c r="C98" s="10" t="s">
        <v>329</v>
      </c>
      <c r="D98" s="10" t="s">
        <v>515</v>
      </c>
      <c r="E98" s="21"/>
    </row>
    <row r="99" spans="2:5" x14ac:dyDescent="0.25">
      <c r="B99" s="10" t="s">
        <v>122</v>
      </c>
      <c r="C99" s="10" t="s">
        <v>330</v>
      </c>
      <c r="D99" s="10" t="s">
        <v>516</v>
      </c>
      <c r="E99" s="21"/>
    </row>
    <row r="100" spans="2:5" x14ac:dyDescent="0.25">
      <c r="B100" s="11" t="s">
        <v>186</v>
      </c>
      <c r="C100" s="11" t="s">
        <v>331</v>
      </c>
      <c r="D100" s="11" t="s">
        <v>517</v>
      </c>
      <c r="E100" s="22"/>
    </row>
    <row r="101" spans="2:5" x14ac:dyDescent="0.25">
      <c r="B101" s="10" t="s">
        <v>123</v>
      </c>
      <c r="C101" s="10" t="s">
        <v>332</v>
      </c>
      <c r="D101" s="10" t="s">
        <v>518</v>
      </c>
      <c r="E101" s="21"/>
    </row>
    <row r="102" spans="2:5" x14ac:dyDescent="0.25">
      <c r="B102" s="10" t="s">
        <v>124</v>
      </c>
      <c r="C102" s="10" t="s">
        <v>333</v>
      </c>
      <c r="D102" s="10" t="s">
        <v>519</v>
      </c>
      <c r="E102" s="21"/>
    </row>
    <row r="103" spans="2:5" x14ac:dyDescent="0.25">
      <c r="B103" s="10" t="s">
        <v>125</v>
      </c>
      <c r="C103" s="10" t="s">
        <v>334</v>
      </c>
      <c r="D103" s="10" t="s">
        <v>520</v>
      </c>
      <c r="E103" s="21"/>
    </row>
    <row r="104" spans="2:5" x14ac:dyDescent="0.25">
      <c r="B104" s="10" t="s">
        <v>126</v>
      </c>
      <c r="C104" s="10" t="s">
        <v>335</v>
      </c>
      <c r="D104" s="10" t="s">
        <v>335</v>
      </c>
      <c r="E104" s="21"/>
    </row>
    <row r="105" spans="2:5" x14ac:dyDescent="0.25">
      <c r="B105" s="10" t="s">
        <v>127</v>
      </c>
      <c r="C105" s="10" t="s">
        <v>127</v>
      </c>
      <c r="D105" s="10" t="s">
        <v>521</v>
      </c>
      <c r="E105" s="21"/>
    </row>
    <row r="106" spans="2:5" x14ac:dyDescent="0.25">
      <c r="B106" s="10" t="s">
        <v>128</v>
      </c>
      <c r="C106" s="10" t="s">
        <v>336</v>
      </c>
      <c r="D106" s="10" t="s">
        <v>522</v>
      </c>
      <c r="E106" s="21"/>
    </row>
    <row r="107" spans="2:5" x14ac:dyDescent="0.25">
      <c r="B107" s="10" t="s">
        <v>129</v>
      </c>
      <c r="C107" s="10" t="s">
        <v>337</v>
      </c>
      <c r="D107" s="10" t="s">
        <v>523</v>
      </c>
      <c r="E107" s="21"/>
    </row>
    <row r="108" spans="2:5" x14ac:dyDescent="0.25">
      <c r="B108" s="10" t="s">
        <v>130</v>
      </c>
      <c r="C108" s="10" t="s">
        <v>338</v>
      </c>
      <c r="D108" s="10" t="s">
        <v>524</v>
      </c>
      <c r="E108" s="21"/>
    </row>
    <row r="109" spans="2:5" x14ac:dyDescent="0.25">
      <c r="B109" s="10" t="s">
        <v>131</v>
      </c>
      <c r="C109" s="10" t="s">
        <v>339</v>
      </c>
      <c r="D109" s="10" t="s">
        <v>525</v>
      </c>
      <c r="E109" s="21"/>
    </row>
    <row r="110" spans="2:5" x14ac:dyDescent="0.25">
      <c r="B110" s="10" t="s">
        <v>132</v>
      </c>
      <c r="C110" s="10" t="s">
        <v>340</v>
      </c>
      <c r="D110" s="10" t="s">
        <v>526</v>
      </c>
      <c r="E110" s="21"/>
    </row>
    <row r="111" spans="2:5" x14ac:dyDescent="0.25">
      <c r="B111" s="10" t="s">
        <v>133</v>
      </c>
      <c r="C111" s="10" t="s">
        <v>341</v>
      </c>
      <c r="D111" s="10" t="s">
        <v>527</v>
      </c>
      <c r="E111" s="21"/>
    </row>
    <row r="112" spans="2:5" x14ac:dyDescent="0.25">
      <c r="B112" s="10" t="s">
        <v>134</v>
      </c>
      <c r="C112" s="10" t="s">
        <v>342</v>
      </c>
      <c r="D112" s="10" t="s">
        <v>528</v>
      </c>
      <c r="E112" s="21"/>
    </row>
    <row r="113" spans="2:5" x14ac:dyDescent="0.25">
      <c r="B113" s="11" t="s">
        <v>188</v>
      </c>
      <c r="C113" s="11" t="s">
        <v>343</v>
      </c>
      <c r="D113" s="11" t="s">
        <v>529</v>
      </c>
      <c r="E113" s="22"/>
    </row>
    <row r="114" spans="2:5" x14ac:dyDescent="0.25">
      <c r="B114" s="10" t="s">
        <v>135</v>
      </c>
      <c r="C114" s="10" t="s">
        <v>344</v>
      </c>
      <c r="D114" s="10" t="s">
        <v>530</v>
      </c>
      <c r="E114" s="21"/>
    </row>
    <row r="115" spans="2:5" x14ac:dyDescent="0.25">
      <c r="B115" s="10" t="s">
        <v>136</v>
      </c>
      <c r="C115" s="10" t="s">
        <v>345</v>
      </c>
      <c r="D115" s="10" t="s">
        <v>531</v>
      </c>
      <c r="E115" s="21"/>
    </row>
    <row r="116" spans="2:5" x14ac:dyDescent="0.25">
      <c r="B116" s="10" t="s">
        <v>137</v>
      </c>
      <c r="C116" s="10" t="s">
        <v>346</v>
      </c>
      <c r="D116" s="10" t="s">
        <v>532</v>
      </c>
      <c r="E116" s="21"/>
    </row>
    <row r="117" spans="2:5" x14ac:dyDescent="0.25">
      <c r="B117" s="10" t="s">
        <v>138</v>
      </c>
      <c r="C117" s="10" t="s">
        <v>347</v>
      </c>
      <c r="D117" s="10" t="s">
        <v>347</v>
      </c>
      <c r="E117" s="21"/>
    </row>
    <row r="118" spans="2:5" x14ac:dyDescent="0.25">
      <c r="B118" s="10" t="s">
        <v>139</v>
      </c>
      <c r="C118" s="10" t="s">
        <v>139</v>
      </c>
      <c r="D118" s="10" t="s">
        <v>533</v>
      </c>
      <c r="E118" s="21"/>
    </row>
    <row r="119" spans="2:5" x14ac:dyDescent="0.25">
      <c r="B119" s="10" t="s">
        <v>140</v>
      </c>
      <c r="C119" s="10" t="s">
        <v>348</v>
      </c>
      <c r="D119" s="10" t="s">
        <v>534</v>
      </c>
      <c r="E119" s="21"/>
    </row>
    <row r="120" spans="2:5" x14ac:dyDescent="0.25">
      <c r="B120" s="10" t="s">
        <v>141</v>
      </c>
      <c r="C120" s="10" t="s">
        <v>349</v>
      </c>
      <c r="D120" s="10" t="s">
        <v>535</v>
      </c>
      <c r="E120" s="21"/>
    </row>
    <row r="121" spans="2:5" x14ac:dyDescent="0.25">
      <c r="B121" s="10" t="s">
        <v>142</v>
      </c>
      <c r="C121" s="10" t="s">
        <v>350</v>
      </c>
      <c r="D121" s="10" t="s">
        <v>536</v>
      </c>
      <c r="E121" s="21"/>
    </row>
    <row r="122" spans="2:5" x14ac:dyDescent="0.25">
      <c r="B122" s="10" t="s">
        <v>143</v>
      </c>
      <c r="C122" s="10" t="s">
        <v>351</v>
      </c>
      <c r="D122" s="10" t="s">
        <v>537</v>
      </c>
      <c r="E122" s="21"/>
    </row>
    <row r="123" spans="2:5" x14ac:dyDescent="0.25">
      <c r="B123" s="10" t="s">
        <v>144</v>
      </c>
      <c r="C123" s="10" t="s">
        <v>352</v>
      </c>
      <c r="D123" s="10" t="s">
        <v>538</v>
      </c>
      <c r="E123" s="21"/>
    </row>
    <row r="124" spans="2:5" x14ac:dyDescent="0.25">
      <c r="B124" s="10" t="s">
        <v>145</v>
      </c>
      <c r="C124" s="10" t="s">
        <v>353</v>
      </c>
      <c r="D124" s="10" t="s">
        <v>539</v>
      </c>
      <c r="E124" s="21"/>
    </row>
    <row r="125" spans="2:5" x14ac:dyDescent="0.25">
      <c r="B125" s="10" t="s">
        <v>146</v>
      </c>
      <c r="C125" s="10" t="s">
        <v>354</v>
      </c>
      <c r="D125" s="10" t="s">
        <v>540</v>
      </c>
      <c r="E125" s="21"/>
    </row>
    <row r="126" spans="2:5" x14ac:dyDescent="0.25">
      <c r="B126" s="11" t="s">
        <v>191</v>
      </c>
      <c r="C126" s="11" t="s">
        <v>355</v>
      </c>
      <c r="D126" s="11" t="s">
        <v>541</v>
      </c>
      <c r="E126" s="22"/>
    </row>
    <row r="127" spans="2:5" x14ac:dyDescent="0.25">
      <c r="B127" s="10" t="s">
        <v>147</v>
      </c>
      <c r="C127" s="10" t="s">
        <v>356</v>
      </c>
      <c r="D127" s="10" t="s">
        <v>542</v>
      </c>
      <c r="E127" s="21"/>
    </row>
    <row r="128" spans="2:5" x14ac:dyDescent="0.25">
      <c r="B128" s="10" t="s">
        <v>148</v>
      </c>
      <c r="C128" s="10" t="s">
        <v>357</v>
      </c>
      <c r="D128" s="10" t="s">
        <v>543</v>
      </c>
      <c r="E128" s="21"/>
    </row>
    <row r="129" spans="2:5" x14ac:dyDescent="0.25">
      <c r="B129" s="10" t="s">
        <v>149</v>
      </c>
      <c r="C129" s="10" t="s">
        <v>358</v>
      </c>
      <c r="D129" s="10" t="s">
        <v>544</v>
      </c>
      <c r="E129" s="21"/>
    </row>
    <row r="130" spans="2:5" x14ac:dyDescent="0.25">
      <c r="B130" s="10" t="s">
        <v>150</v>
      </c>
      <c r="C130" s="10" t="s">
        <v>359</v>
      </c>
      <c r="D130" s="10" t="s">
        <v>359</v>
      </c>
      <c r="E130" s="21"/>
    </row>
    <row r="131" spans="2:5" x14ac:dyDescent="0.25">
      <c r="B131" s="10" t="s">
        <v>151</v>
      </c>
      <c r="C131" s="10" t="s">
        <v>151</v>
      </c>
      <c r="D131" s="10" t="s">
        <v>545</v>
      </c>
      <c r="E131" s="21"/>
    </row>
    <row r="132" spans="2:5" x14ac:dyDescent="0.25">
      <c r="B132" s="10" t="s">
        <v>152</v>
      </c>
      <c r="C132" s="10" t="s">
        <v>360</v>
      </c>
      <c r="D132" s="10" t="s">
        <v>546</v>
      </c>
      <c r="E132" s="21"/>
    </row>
    <row r="133" spans="2:5" x14ac:dyDescent="0.25">
      <c r="B133" s="10" t="s">
        <v>153</v>
      </c>
      <c r="C133" s="10" t="s">
        <v>361</v>
      </c>
      <c r="D133" s="10" t="s">
        <v>547</v>
      </c>
      <c r="E133" s="21"/>
    </row>
    <row r="134" spans="2:5" x14ac:dyDescent="0.25">
      <c r="B134" s="10" t="s">
        <v>154</v>
      </c>
      <c r="C134" s="10" t="s">
        <v>362</v>
      </c>
      <c r="D134" s="10" t="s">
        <v>548</v>
      </c>
      <c r="E134" s="21"/>
    </row>
    <row r="135" spans="2:5" x14ac:dyDescent="0.25">
      <c r="B135" s="10" t="s">
        <v>155</v>
      </c>
      <c r="C135" s="10" t="s">
        <v>363</v>
      </c>
      <c r="D135" s="10" t="s">
        <v>549</v>
      </c>
      <c r="E135" s="21"/>
    </row>
    <row r="136" spans="2:5" x14ac:dyDescent="0.25">
      <c r="B136" s="10" t="s">
        <v>156</v>
      </c>
      <c r="C136" s="10" t="s">
        <v>364</v>
      </c>
      <c r="D136" s="10" t="s">
        <v>550</v>
      </c>
      <c r="E136" s="21"/>
    </row>
    <row r="137" spans="2:5" x14ac:dyDescent="0.25">
      <c r="B137" s="10" t="s">
        <v>157</v>
      </c>
      <c r="C137" s="10" t="s">
        <v>365</v>
      </c>
      <c r="D137" s="10" t="s">
        <v>551</v>
      </c>
      <c r="E137" s="21"/>
    </row>
    <row r="138" spans="2:5" x14ac:dyDescent="0.25">
      <c r="B138" s="10" t="s">
        <v>158</v>
      </c>
      <c r="C138" s="10" t="s">
        <v>366</v>
      </c>
      <c r="D138" s="10" t="s">
        <v>552</v>
      </c>
      <c r="E138" s="21"/>
    </row>
    <row r="139" spans="2:5" x14ac:dyDescent="0.25">
      <c r="B139" s="11" t="s">
        <v>190</v>
      </c>
      <c r="C139" s="11" t="s">
        <v>367</v>
      </c>
      <c r="D139" s="11" t="s">
        <v>553</v>
      </c>
      <c r="E139" s="22"/>
    </row>
    <row r="140" spans="2:5" x14ac:dyDescent="0.25">
      <c r="B140" s="10" t="s">
        <v>159</v>
      </c>
      <c r="C140" s="10" t="s">
        <v>368</v>
      </c>
      <c r="D140" s="10" t="s">
        <v>554</v>
      </c>
      <c r="E140" s="21"/>
    </row>
    <row r="141" spans="2:5" x14ac:dyDescent="0.25">
      <c r="B141" s="10" t="s">
        <v>160</v>
      </c>
      <c r="C141" s="10" t="s">
        <v>369</v>
      </c>
      <c r="D141" s="10" t="s">
        <v>555</v>
      </c>
      <c r="E141" s="21"/>
    </row>
    <row r="142" spans="2:5" x14ac:dyDescent="0.25">
      <c r="B142" s="10" t="s">
        <v>161</v>
      </c>
      <c r="C142" s="10" t="s">
        <v>370</v>
      </c>
      <c r="D142" s="10" t="s">
        <v>556</v>
      </c>
      <c r="E142" s="21"/>
    </row>
    <row r="143" spans="2:5" x14ac:dyDescent="0.25">
      <c r="B143" s="10" t="s">
        <v>162</v>
      </c>
      <c r="C143" s="10" t="s">
        <v>371</v>
      </c>
      <c r="D143" s="10" t="s">
        <v>371</v>
      </c>
      <c r="E143" s="21"/>
    </row>
    <row r="144" spans="2:5" x14ac:dyDescent="0.25">
      <c r="B144" s="10" t="s">
        <v>163</v>
      </c>
      <c r="C144" s="10" t="s">
        <v>163</v>
      </c>
      <c r="D144" s="10" t="s">
        <v>557</v>
      </c>
      <c r="E144" s="21"/>
    </row>
    <row r="145" spans="2:5" x14ac:dyDescent="0.25">
      <c r="B145" s="10" t="s">
        <v>164</v>
      </c>
      <c r="C145" s="10" t="s">
        <v>372</v>
      </c>
      <c r="D145" s="10" t="s">
        <v>558</v>
      </c>
      <c r="E145" s="21"/>
    </row>
    <row r="146" spans="2:5" x14ac:dyDescent="0.25">
      <c r="B146" s="10" t="s">
        <v>165</v>
      </c>
      <c r="C146" s="10" t="s">
        <v>373</v>
      </c>
      <c r="D146" s="10" t="s">
        <v>559</v>
      </c>
      <c r="E146" s="21"/>
    </row>
    <row r="147" spans="2:5" x14ac:dyDescent="0.25">
      <c r="B147" s="10" t="s">
        <v>166</v>
      </c>
      <c r="C147" s="10" t="s">
        <v>374</v>
      </c>
      <c r="D147" s="10" t="s">
        <v>560</v>
      </c>
      <c r="E147" s="21"/>
    </row>
    <row r="148" spans="2:5" x14ac:dyDescent="0.25">
      <c r="B148" s="10" t="s">
        <v>167</v>
      </c>
      <c r="C148" s="10" t="s">
        <v>375</v>
      </c>
      <c r="D148" s="10" t="s">
        <v>561</v>
      </c>
      <c r="E148" s="21"/>
    </row>
    <row r="149" spans="2:5" x14ac:dyDescent="0.25">
      <c r="B149" s="10" t="s">
        <v>194</v>
      </c>
      <c r="C149" s="10" t="s">
        <v>376</v>
      </c>
      <c r="D149" s="10" t="s">
        <v>562</v>
      </c>
      <c r="E149" s="21"/>
    </row>
    <row r="150" spans="2:5" x14ac:dyDescent="0.25">
      <c r="B150" s="10" t="s">
        <v>193</v>
      </c>
      <c r="C150" s="10" t="s">
        <v>377</v>
      </c>
      <c r="D150" s="10" t="s">
        <v>563</v>
      </c>
      <c r="E150" s="21"/>
    </row>
    <row r="151" spans="2:5" x14ac:dyDescent="0.25">
      <c r="B151" s="10" t="s">
        <v>195</v>
      </c>
      <c r="C151" s="10" t="s">
        <v>378</v>
      </c>
      <c r="D151" s="10" t="s">
        <v>564</v>
      </c>
      <c r="E151" s="21"/>
    </row>
    <row r="152" spans="2:5" x14ac:dyDescent="0.25">
      <c r="B152" s="11" t="s">
        <v>189</v>
      </c>
      <c r="C152" s="18" t="s">
        <v>379</v>
      </c>
      <c r="D152" s="11" t="s">
        <v>565</v>
      </c>
      <c r="E152" s="22"/>
    </row>
    <row r="153" spans="2:5" x14ac:dyDescent="0.25">
      <c r="B153" s="10" t="s">
        <v>569</v>
      </c>
      <c r="C153" s="10" t="s">
        <v>570</v>
      </c>
      <c r="D153" s="10" t="s">
        <v>571</v>
      </c>
      <c r="E153" s="3"/>
    </row>
    <row r="154" spans="2:5" x14ac:dyDescent="0.25">
      <c r="B154" s="10" t="s">
        <v>572</v>
      </c>
      <c r="C154" s="10" t="s">
        <v>573</v>
      </c>
      <c r="D154" s="10" t="s">
        <v>574</v>
      </c>
      <c r="E154" s="3"/>
    </row>
    <row r="155" spans="2:5" x14ac:dyDescent="0.25">
      <c r="B155" s="10" t="s">
        <v>575</v>
      </c>
      <c r="C155" s="10" t="s">
        <v>576</v>
      </c>
      <c r="D155" s="10" t="s">
        <v>577</v>
      </c>
      <c r="E155" s="3"/>
    </row>
    <row r="156" spans="2:5" x14ac:dyDescent="0.25">
      <c r="B156" s="10" t="s">
        <v>578</v>
      </c>
      <c r="C156" s="10" t="s">
        <v>579</v>
      </c>
      <c r="D156" s="10" t="s">
        <v>579</v>
      </c>
    </row>
    <row r="157" spans="2:5" x14ac:dyDescent="0.25">
      <c r="B157" s="10" t="s">
        <v>580</v>
      </c>
      <c r="C157" s="10" t="s">
        <v>580</v>
      </c>
      <c r="D157" s="10" t="s">
        <v>581</v>
      </c>
    </row>
    <row r="158" spans="2:5" x14ac:dyDescent="0.25">
      <c r="B158" s="10" t="s">
        <v>582</v>
      </c>
      <c r="C158" s="10" t="s">
        <v>583</v>
      </c>
      <c r="D158" s="10" t="s">
        <v>584</v>
      </c>
    </row>
    <row r="159" spans="2:5" x14ac:dyDescent="0.25">
      <c r="B159" s="10" t="s">
        <v>585</v>
      </c>
      <c r="C159" s="10" t="s">
        <v>586</v>
      </c>
      <c r="D159" s="10" t="s">
        <v>587</v>
      </c>
    </row>
    <row r="160" spans="2:5" x14ac:dyDescent="0.25">
      <c r="B160" s="10" t="s">
        <v>588</v>
      </c>
      <c r="C160" s="10" t="s">
        <v>589</v>
      </c>
      <c r="D160" s="10" t="s">
        <v>590</v>
      </c>
    </row>
    <row r="161" spans="2:4" x14ac:dyDescent="0.25">
      <c r="B161" s="10" t="s">
        <v>591</v>
      </c>
      <c r="C161" s="10" t="s">
        <v>592</v>
      </c>
      <c r="D161" s="10" t="s">
        <v>593</v>
      </c>
    </row>
    <row r="162" spans="2:4" x14ac:dyDescent="0.25">
      <c r="B162" s="10" t="s">
        <v>594</v>
      </c>
      <c r="C162" s="10" t="s">
        <v>595</v>
      </c>
      <c r="D162" s="10" t="s">
        <v>596</v>
      </c>
    </row>
    <row r="163" spans="2:4" x14ac:dyDescent="0.25">
      <c r="B163" s="10" t="s">
        <v>597</v>
      </c>
      <c r="C163" s="10" t="s">
        <v>598</v>
      </c>
      <c r="D163" s="10" t="s">
        <v>599</v>
      </c>
    </row>
    <row r="164" spans="2:4" x14ac:dyDescent="0.25">
      <c r="B164" s="10" t="s">
        <v>600</v>
      </c>
      <c r="C164" s="10" t="s">
        <v>601</v>
      </c>
      <c r="D164" s="10" t="s">
        <v>602</v>
      </c>
    </row>
    <row r="165" spans="2:4" x14ac:dyDescent="0.25">
      <c r="B165" s="11" t="s">
        <v>604</v>
      </c>
      <c r="C165" s="18" t="s">
        <v>605</v>
      </c>
      <c r="D165" s="11" t="s">
        <v>603</v>
      </c>
    </row>
    <row r="166" spans="2:4" x14ac:dyDescent="0.25">
      <c r="B166" s="10" t="s">
        <v>612</v>
      </c>
      <c r="C166" s="10" t="s">
        <v>613</v>
      </c>
      <c r="D166" s="10" t="s">
        <v>614</v>
      </c>
    </row>
    <row r="167" spans="2:4" x14ac:dyDescent="0.25">
      <c r="B167" s="10" t="s">
        <v>615</v>
      </c>
      <c r="C167" s="10" t="s">
        <v>616</v>
      </c>
      <c r="D167" s="10" t="s">
        <v>617</v>
      </c>
    </row>
    <row r="168" spans="2:4" x14ac:dyDescent="0.25">
      <c r="B168" s="10" t="s">
        <v>618</v>
      </c>
      <c r="C168" s="10" t="s">
        <v>619</v>
      </c>
      <c r="D168" s="10" t="s">
        <v>620</v>
      </c>
    </row>
    <row r="169" spans="2:4" x14ac:dyDescent="0.25">
      <c r="B169" s="10" t="s">
        <v>621</v>
      </c>
      <c r="C169" s="10" t="s">
        <v>622</v>
      </c>
      <c r="D169" s="10" t="s">
        <v>622</v>
      </c>
    </row>
    <row r="170" spans="2:4" x14ac:dyDescent="0.25">
      <c r="B170" s="10" t="s">
        <v>623</v>
      </c>
      <c r="C170" s="10" t="s">
        <v>623</v>
      </c>
      <c r="D170" s="10" t="s">
        <v>624</v>
      </c>
    </row>
    <row r="171" spans="2:4" x14ac:dyDescent="0.25">
      <c r="B171" s="10" t="s">
        <v>625</v>
      </c>
      <c r="C171" s="10" t="s">
        <v>626</v>
      </c>
      <c r="D171" s="10" t="s">
        <v>627</v>
      </c>
    </row>
    <row r="172" spans="2:4" x14ac:dyDescent="0.25">
      <c r="B172" s="10" t="s">
        <v>628</v>
      </c>
      <c r="C172" s="10" t="s">
        <v>629</v>
      </c>
      <c r="D172" s="10" t="s">
        <v>630</v>
      </c>
    </row>
    <row r="173" spans="2:4" x14ac:dyDescent="0.25">
      <c r="B173" s="10" t="s">
        <v>631</v>
      </c>
      <c r="C173" s="10" t="s">
        <v>632</v>
      </c>
      <c r="D173" s="10" t="s">
        <v>633</v>
      </c>
    </row>
    <row r="174" spans="2:4" x14ac:dyDescent="0.25">
      <c r="B174" s="10" t="s">
        <v>634</v>
      </c>
      <c r="C174" s="10" t="s">
        <v>635</v>
      </c>
      <c r="D174" s="10" t="s">
        <v>636</v>
      </c>
    </row>
    <row r="175" spans="2:4" x14ac:dyDescent="0.25">
      <c r="B175" s="10" t="s">
        <v>637</v>
      </c>
      <c r="C175" s="10" t="s">
        <v>638</v>
      </c>
      <c r="D175" s="10" t="s">
        <v>639</v>
      </c>
    </row>
    <row r="176" spans="2:4" x14ac:dyDescent="0.25">
      <c r="B176" s="10" t="s">
        <v>640</v>
      </c>
      <c r="C176" s="10" t="s">
        <v>641</v>
      </c>
      <c r="D176" s="10" t="s">
        <v>642</v>
      </c>
    </row>
    <row r="177" spans="1:4" x14ac:dyDescent="0.25">
      <c r="B177" s="10" t="s">
        <v>643</v>
      </c>
      <c r="C177" s="10" t="s">
        <v>644</v>
      </c>
      <c r="D177" s="10" t="s">
        <v>645</v>
      </c>
    </row>
    <row r="178" spans="1:4" x14ac:dyDescent="0.25">
      <c r="B178" s="11" t="s">
        <v>606</v>
      </c>
      <c r="C178" s="18" t="s">
        <v>607</v>
      </c>
      <c r="D178" s="11" t="s">
        <v>608</v>
      </c>
    </row>
    <row r="179" spans="1:4" x14ac:dyDescent="0.25">
      <c r="A179">
        <v>2019</v>
      </c>
      <c r="B179" s="10" t="s">
        <v>831</v>
      </c>
      <c r="C179" s="10" t="s">
        <v>832</v>
      </c>
      <c r="D179" s="10" t="s">
        <v>833</v>
      </c>
    </row>
    <row r="180" spans="1:4" x14ac:dyDescent="0.25">
      <c r="B180" s="10" t="s">
        <v>834</v>
      </c>
      <c r="C180" s="10" t="s">
        <v>835</v>
      </c>
      <c r="D180" s="10" t="s">
        <v>836</v>
      </c>
    </row>
    <row r="181" spans="1:4" x14ac:dyDescent="0.25">
      <c r="B181" s="10" t="s">
        <v>837</v>
      </c>
      <c r="C181" s="10" t="s">
        <v>838</v>
      </c>
      <c r="D181" s="10" t="s">
        <v>839</v>
      </c>
    </row>
    <row r="182" spans="1:4" x14ac:dyDescent="0.25">
      <c r="B182" s="10" t="s">
        <v>840</v>
      </c>
      <c r="C182" s="10" t="s">
        <v>841</v>
      </c>
      <c r="D182" s="10" t="s">
        <v>841</v>
      </c>
    </row>
    <row r="183" spans="1:4" x14ac:dyDescent="0.25">
      <c r="B183" s="10" t="s">
        <v>842</v>
      </c>
      <c r="C183" s="10" t="s">
        <v>842</v>
      </c>
      <c r="D183" s="10" t="s">
        <v>843</v>
      </c>
    </row>
    <row r="184" spans="1:4" x14ac:dyDescent="0.25">
      <c r="B184" s="10" t="s">
        <v>844</v>
      </c>
      <c r="C184" s="10" t="s">
        <v>845</v>
      </c>
      <c r="D184" s="10" t="s">
        <v>846</v>
      </c>
    </row>
    <row r="185" spans="1:4" x14ac:dyDescent="0.25">
      <c r="B185" s="10" t="s">
        <v>847</v>
      </c>
      <c r="C185" s="10" t="s">
        <v>848</v>
      </c>
      <c r="D185" s="10" t="s">
        <v>849</v>
      </c>
    </row>
    <row r="186" spans="1:4" x14ac:dyDescent="0.25">
      <c r="B186" s="10" t="s">
        <v>850</v>
      </c>
      <c r="C186" s="10" t="s">
        <v>851</v>
      </c>
      <c r="D186" s="10" t="s">
        <v>852</v>
      </c>
    </row>
    <row r="187" spans="1:4" x14ac:dyDescent="0.25">
      <c r="B187" s="10" t="s">
        <v>853</v>
      </c>
      <c r="C187" s="10" t="s">
        <v>854</v>
      </c>
      <c r="D187" s="10" t="s">
        <v>855</v>
      </c>
    </row>
    <row r="188" spans="1:4" x14ac:dyDescent="0.25">
      <c r="B188" s="10" t="s">
        <v>856</v>
      </c>
      <c r="C188" s="10" t="s">
        <v>857</v>
      </c>
      <c r="D188" s="10" t="s">
        <v>858</v>
      </c>
    </row>
    <row r="189" spans="1:4" x14ac:dyDescent="0.25">
      <c r="B189" s="10" t="s">
        <v>859</v>
      </c>
      <c r="C189" s="10" t="s">
        <v>860</v>
      </c>
      <c r="D189" s="10" t="s">
        <v>861</v>
      </c>
    </row>
    <row r="190" spans="1:4" x14ac:dyDescent="0.25">
      <c r="B190" s="10" t="s">
        <v>862</v>
      </c>
      <c r="C190" s="10" t="s">
        <v>863</v>
      </c>
      <c r="D190" s="10" t="s">
        <v>864</v>
      </c>
    </row>
    <row r="191" spans="1:4" x14ac:dyDescent="0.25">
      <c r="B191" s="11" t="s">
        <v>865</v>
      </c>
      <c r="C191" s="18" t="s">
        <v>866</v>
      </c>
      <c r="D191" s="11" t="s">
        <v>867</v>
      </c>
    </row>
    <row r="192" spans="1:4" x14ac:dyDescent="0.25">
      <c r="B192" s="10" t="s">
        <v>647</v>
      </c>
      <c r="C192" s="10" t="s">
        <v>648</v>
      </c>
      <c r="D192" s="10" t="s">
        <v>649</v>
      </c>
    </row>
    <row r="193" spans="2:4" x14ac:dyDescent="0.25">
      <c r="B193" s="10" t="s">
        <v>650</v>
      </c>
      <c r="C193" s="10" t="s">
        <v>651</v>
      </c>
      <c r="D193" s="10" t="s">
        <v>652</v>
      </c>
    </row>
    <row r="194" spans="2:4" x14ac:dyDescent="0.25">
      <c r="B194" s="10" t="s">
        <v>653</v>
      </c>
      <c r="C194" s="10" t="s">
        <v>654</v>
      </c>
      <c r="D194" s="10" t="s">
        <v>655</v>
      </c>
    </row>
    <row r="195" spans="2:4" x14ac:dyDescent="0.25">
      <c r="B195" s="10" t="s">
        <v>656</v>
      </c>
      <c r="C195" s="10" t="s">
        <v>657</v>
      </c>
      <c r="D195" s="10" t="s">
        <v>657</v>
      </c>
    </row>
    <row r="196" spans="2:4" x14ac:dyDescent="0.25">
      <c r="B196" s="10" t="s">
        <v>658</v>
      </c>
      <c r="C196" s="10" t="s">
        <v>658</v>
      </c>
      <c r="D196" s="10" t="s">
        <v>659</v>
      </c>
    </row>
    <row r="197" spans="2:4" x14ac:dyDescent="0.25">
      <c r="B197" s="10" t="s">
        <v>660</v>
      </c>
      <c r="C197" s="10" t="s">
        <v>661</v>
      </c>
      <c r="D197" s="10" t="s">
        <v>662</v>
      </c>
    </row>
    <row r="198" spans="2:4" x14ac:dyDescent="0.25">
      <c r="B198" s="10" t="s">
        <v>663</v>
      </c>
      <c r="C198" s="10" t="s">
        <v>664</v>
      </c>
      <c r="D198" s="10" t="s">
        <v>665</v>
      </c>
    </row>
    <row r="199" spans="2:4" x14ac:dyDescent="0.25">
      <c r="B199" s="10" t="s">
        <v>666</v>
      </c>
      <c r="C199" s="10" t="s">
        <v>667</v>
      </c>
      <c r="D199" s="10" t="s">
        <v>668</v>
      </c>
    </row>
    <row r="200" spans="2:4" x14ac:dyDescent="0.25">
      <c r="B200" s="10" t="s">
        <v>669</v>
      </c>
      <c r="C200" s="10" t="s">
        <v>670</v>
      </c>
      <c r="D200" s="10" t="s">
        <v>671</v>
      </c>
    </row>
    <row r="201" spans="2:4" x14ac:dyDescent="0.25">
      <c r="B201" s="10" t="s">
        <v>672</v>
      </c>
      <c r="C201" s="10" t="s">
        <v>673</v>
      </c>
      <c r="D201" s="10" t="s">
        <v>674</v>
      </c>
    </row>
    <row r="202" spans="2:4" x14ac:dyDescent="0.25">
      <c r="B202" s="10" t="s">
        <v>675</v>
      </c>
      <c r="C202" s="10" t="s">
        <v>676</v>
      </c>
      <c r="D202" s="10" t="s">
        <v>677</v>
      </c>
    </row>
    <row r="203" spans="2:4" x14ac:dyDescent="0.25">
      <c r="B203" s="10" t="s">
        <v>678</v>
      </c>
      <c r="C203" s="10" t="s">
        <v>679</v>
      </c>
      <c r="D203" s="10" t="s">
        <v>680</v>
      </c>
    </row>
    <row r="204" spans="2:4" x14ac:dyDescent="0.25">
      <c r="B204" s="11" t="s">
        <v>646</v>
      </c>
      <c r="C204" s="18" t="s">
        <v>681</v>
      </c>
      <c r="D204" s="11" t="s">
        <v>682</v>
      </c>
    </row>
    <row r="205" spans="2:4" x14ac:dyDescent="0.25">
      <c r="B205" s="10" t="s">
        <v>684</v>
      </c>
      <c r="C205" s="10" t="s">
        <v>685</v>
      </c>
      <c r="D205" s="10" t="s">
        <v>686</v>
      </c>
    </row>
    <row r="206" spans="2:4" x14ac:dyDescent="0.25">
      <c r="B206" s="10" t="s">
        <v>687</v>
      </c>
      <c r="C206" s="10" t="s">
        <v>688</v>
      </c>
      <c r="D206" s="10" t="s">
        <v>689</v>
      </c>
    </row>
    <row r="207" spans="2:4" x14ac:dyDescent="0.25">
      <c r="B207" s="10" t="s">
        <v>690</v>
      </c>
      <c r="C207" s="10" t="s">
        <v>691</v>
      </c>
      <c r="D207" s="10" t="s">
        <v>692</v>
      </c>
    </row>
    <row r="208" spans="2:4" x14ac:dyDescent="0.25">
      <c r="B208" s="10" t="s">
        <v>693</v>
      </c>
      <c r="C208" s="10" t="s">
        <v>694</v>
      </c>
      <c r="D208" s="10" t="s">
        <v>694</v>
      </c>
    </row>
    <row r="209" spans="2:4" x14ac:dyDescent="0.25">
      <c r="B209" s="10" t="s">
        <v>695</v>
      </c>
      <c r="C209" s="10" t="s">
        <v>695</v>
      </c>
      <c r="D209" s="10" t="s">
        <v>696</v>
      </c>
    </row>
    <row r="210" spans="2:4" x14ac:dyDescent="0.25">
      <c r="B210" s="10" t="s">
        <v>697</v>
      </c>
      <c r="C210" s="10" t="s">
        <v>698</v>
      </c>
      <c r="D210" s="10" t="s">
        <v>699</v>
      </c>
    </row>
    <row r="211" spans="2:4" x14ac:dyDescent="0.25">
      <c r="B211" s="10" t="s">
        <v>700</v>
      </c>
      <c r="C211" s="10" t="s">
        <v>701</v>
      </c>
      <c r="D211" s="10" t="s">
        <v>702</v>
      </c>
    </row>
    <row r="212" spans="2:4" x14ac:dyDescent="0.25">
      <c r="B212" s="10" t="s">
        <v>703</v>
      </c>
      <c r="C212" s="10" t="s">
        <v>704</v>
      </c>
      <c r="D212" s="10" t="s">
        <v>705</v>
      </c>
    </row>
    <row r="213" spans="2:4" x14ac:dyDescent="0.25">
      <c r="B213" s="10" t="s">
        <v>706</v>
      </c>
      <c r="C213" s="10" t="s">
        <v>707</v>
      </c>
      <c r="D213" s="10" t="s">
        <v>708</v>
      </c>
    </row>
    <row r="214" spans="2:4" x14ac:dyDescent="0.25">
      <c r="B214" s="10" t="s">
        <v>709</v>
      </c>
      <c r="C214" s="10" t="s">
        <v>710</v>
      </c>
      <c r="D214" s="10" t="s">
        <v>711</v>
      </c>
    </row>
    <row r="215" spans="2:4" x14ac:dyDescent="0.25">
      <c r="B215" s="10" t="s">
        <v>712</v>
      </c>
      <c r="C215" s="10" t="s">
        <v>713</v>
      </c>
      <c r="D215" s="10" t="s">
        <v>714</v>
      </c>
    </row>
    <row r="216" spans="2:4" x14ac:dyDescent="0.25">
      <c r="B216" s="10" t="s">
        <v>715</v>
      </c>
      <c r="C216" s="10" t="s">
        <v>716</v>
      </c>
      <c r="D216" s="10" t="s">
        <v>717</v>
      </c>
    </row>
    <row r="217" spans="2:4" x14ac:dyDescent="0.25">
      <c r="B217" s="11" t="s">
        <v>683</v>
      </c>
      <c r="C217" s="18" t="s">
        <v>718</v>
      </c>
      <c r="D217" s="11" t="s">
        <v>719</v>
      </c>
    </row>
    <row r="218" spans="2:4" x14ac:dyDescent="0.25">
      <c r="B218" s="10" t="s">
        <v>721</v>
      </c>
      <c r="C218" s="10" t="s">
        <v>722</v>
      </c>
      <c r="D218" s="10" t="s">
        <v>723</v>
      </c>
    </row>
    <row r="219" spans="2:4" x14ac:dyDescent="0.25">
      <c r="B219" s="10" t="s">
        <v>724</v>
      </c>
      <c r="C219" s="10" t="s">
        <v>725</v>
      </c>
      <c r="D219" s="10" t="s">
        <v>726</v>
      </c>
    </row>
    <row r="220" spans="2:4" x14ac:dyDescent="0.25">
      <c r="B220" s="10" t="s">
        <v>727</v>
      </c>
      <c r="C220" s="10" t="s">
        <v>728</v>
      </c>
      <c r="D220" s="10" t="s">
        <v>729</v>
      </c>
    </row>
    <row r="221" spans="2:4" x14ac:dyDescent="0.25">
      <c r="B221" s="10" t="s">
        <v>730</v>
      </c>
      <c r="C221" s="10" t="s">
        <v>731</v>
      </c>
      <c r="D221" s="10" t="s">
        <v>731</v>
      </c>
    </row>
    <row r="222" spans="2:4" x14ac:dyDescent="0.25">
      <c r="B222" s="10" t="s">
        <v>732</v>
      </c>
      <c r="C222" s="10" t="s">
        <v>732</v>
      </c>
      <c r="D222" s="10" t="s">
        <v>733</v>
      </c>
    </row>
    <row r="223" spans="2:4" x14ac:dyDescent="0.25">
      <c r="B223" s="10" t="s">
        <v>734</v>
      </c>
      <c r="C223" s="10" t="s">
        <v>735</v>
      </c>
      <c r="D223" s="10" t="s">
        <v>736</v>
      </c>
    </row>
    <row r="224" spans="2:4" x14ac:dyDescent="0.25">
      <c r="B224" s="10" t="s">
        <v>737</v>
      </c>
      <c r="C224" s="10" t="s">
        <v>738</v>
      </c>
      <c r="D224" s="10" t="s">
        <v>739</v>
      </c>
    </row>
    <row r="225" spans="2:4" x14ac:dyDescent="0.25">
      <c r="B225" s="10" t="s">
        <v>740</v>
      </c>
      <c r="C225" s="10" t="s">
        <v>741</v>
      </c>
      <c r="D225" s="10" t="s">
        <v>742</v>
      </c>
    </row>
    <row r="226" spans="2:4" x14ac:dyDescent="0.25">
      <c r="B226" s="10" t="s">
        <v>743</v>
      </c>
      <c r="C226" s="10" t="s">
        <v>744</v>
      </c>
      <c r="D226" s="10" t="s">
        <v>745</v>
      </c>
    </row>
    <row r="227" spans="2:4" x14ac:dyDescent="0.25">
      <c r="B227" s="10" t="s">
        <v>746</v>
      </c>
      <c r="C227" s="10" t="s">
        <v>747</v>
      </c>
      <c r="D227" s="10" t="s">
        <v>748</v>
      </c>
    </row>
    <row r="228" spans="2:4" x14ac:dyDescent="0.25">
      <c r="B228" s="10" t="s">
        <v>749</v>
      </c>
      <c r="C228" s="10" t="s">
        <v>750</v>
      </c>
      <c r="D228" s="10" t="s">
        <v>751</v>
      </c>
    </row>
    <row r="229" spans="2:4" x14ac:dyDescent="0.25">
      <c r="B229" s="10" t="s">
        <v>752</v>
      </c>
      <c r="C229" s="10" t="s">
        <v>753</v>
      </c>
      <c r="D229" s="10" t="s">
        <v>754</v>
      </c>
    </row>
    <row r="230" spans="2:4" x14ac:dyDescent="0.25">
      <c r="B230" s="11" t="s">
        <v>720</v>
      </c>
      <c r="C230" s="18" t="s">
        <v>755</v>
      </c>
      <c r="D230" s="11" t="s">
        <v>756</v>
      </c>
    </row>
    <row r="231" spans="2:4" x14ac:dyDescent="0.25">
      <c r="B231" s="10" t="s">
        <v>758</v>
      </c>
      <c r="C231" s="10" t="s">
        <v>759</v>
      </c>
      <c r="D231" s="10" t="s">
        <v>760</v>
      </c>
    </row>
    <row r="232" spans="2:4" x14ac:dyDescent="0.25">
      <c r="B232" s="10" t="s">
        <v>761</v>
      </c>
      <c r="C232" s="10" t="s">
        <v>762</v>
      </c>
      <c r="D232" s="10" t="s">
        <v>763</v>
      </c>
    </row>
    <row r="233" spans="2:4" x14ac:dyDescent="0.25">
      <c r="B233" s="10" t="s">
        <v>764</v>
      </c>
      <c r="C233" s="10" t="s">
        <v>765</v>
      </c>
      <c r="D233" s="10" t="s">
        <v>766</v>
      </c>
    </row>
    <row r="234" spans="2:4" x14ac:dyDescent="0.25">
      <c r="B234" s="10" t="s">
        <v>767</v>
      </c>
      <c r="C234" s="10" t="s">
        <v>768</v>
      </c>
      <c r="D234" s="10" t="s">
        <v>768</v>
      </c>
    </row>
    <row r="235" spans="2:4" x14ac:dyDescent="0.25">
      <c r="B235" s="10" t="s">
        <v>769</v>
      </c>
      <c r="C235" s="10" t="s">
        <v>769</v>
      </c>
      <c r="D235" s="10" t="s">
        <v>770</v>
      </c>
    </row>
    <row r="236" spans="2:4" x14ac:dyDescent="0.25">
      <c r="B236" s="10" t="s">
        <v>771</v>
      </c>
      <c r="C236" s="10" t="s">
        <v>772</v>
      </c>
      <c r="D236" s="10" t="s">
        <v>773</v>
      </c>
    </row>
    <row r="237" spans="2:4" x14ac:dyDescent="0.25">
      <c r="B237" s="10" t="s">
        <v>774</v>
      </c>
      <c r="C237" s="10" t="s">
        <v>775</v>
      </c>
      <c r="D237" s="10" t="s">
        <v>776</v>
      </c>
    </row>
    <row r="238" spans="2:4" x14ac:dyDescent="0.25">
      <c r="B238" s="10" t="s">
        <v>777</v>
      </c>
      <c r="C238" s="10" t="s">
        <v>778</v>
      </c>
      <c r="D238" s="10" t="s">
        <v>779</v>
      </c>
    </row>
    <row r="239" spans="2:4" x14ac:dyDescent="0.25">
      <c r="B239" s="10" t="s">
        <v>780</v>
      </c>
      <c r="C239" s="10" t="s">
        <v>781</v>
      </c>
      <c r="D239" s="10" t="s">
        <v>782</v>
      </c>
    </row>
    <row r="240" spans="2:4" x14ac:dyDescent="0.25">
      <c r="B240" s="10" t="s">
        <v>783</v>
      </c>
      <c r="C240" s="10" t="s">
        <v>784</v>
      </c>
      <c r="D240" s="10" t="s">
        <v>785</v>
      </c>
    </row>
    <row r="241" spans="2:4" x14ac:dyDescent="0.25">
      <c r="B241" s="10" t="s">
        <v>786</v>
      </c>
      <c r="C241" s="10" t="s">
        <v>787</v>
      </c>
      <c r="D241" s="10" t="s">
        <v>788</v>
      </c>
    </row>
    <row r="242" spans="2:4" x14ac:dyDescent="0.25">
      <c r="B242" s="10" t="s">
        <v>789</v>
      </c>
      <c r="C242" s="10" t="s">
        <v>790</v>
      </c>
      <c r="D242" s="10" t="s">
        <v>791</v>
      </c>
    </row>
    <row r="243" spans="2:4" x14ac:dyDescent="0.25">
      <c r="B243" s="11" t="s">
        <v>757</v>
      </c>
      <c r="C243" s="18" t="s">
        <v>792</v>
      </c>
      <c r="D243" s="11" t="s">
        <v>793</v>
      </c>
    </row>
    <row r="244" spans="2:4" x14ac:dyDescent="0.25">
      <c r="B244" s="10" t="s">
        <v>795</v>
      </c>
      <c r="C244" s="10" t="s">
        <v>796</v>
      </c>
      <c r="D244" s="10" t="s">
        <v>797</v>
      </c>
    </row>
    <row r="245" spans="2:4" x14ac:dyDescent="0.25">
      <c r="B245" s="10" t="s">
        <v>798</v>
      </c>
      <c r="C245" s="10" t="s">
        <v>799</v>
      </c>
      <c r="D245" s="10" t="s">
        <v>800</v>
      </c>
    </row>
    <row r="246" spans="2:4" x14ac:dyDescent="0.25">
      <c r="B246" s="10" t="s">
        <v>801</v>
      </c>
      <c r="C246" s="10" t="s">
        <v>802</v>
      </c>
      <c r="D246" s="10" t="s">
        <v>803</v>
      </c>
    </row>
    <row r="247" spans="2:4" x14ac:dyDescent="0.25">
      <c r="B247" s="10" t="s">
        <v>804</v>
      </c>
      <c r="C247" s="10" t="s">
        <v>805</v>
      </c>
      <c r="D247" s="10" t="s">
        <v>805</v>
      </c>
    </row>
    <row r="248" spans="2:4" x14ac:dyDescent="0.25">
      <c r="B248" s="10" t="s">
        <v>806</v>
      </c>
      <c r="C248" s="10" t="s">
        <v>806</v>
      </c>
      <c r="D248" s="10" t="s">
        <v>807</v>
      </c>
    </row>
    <row r="249" spans="2:4" x14ac:dyDescent="0.25">
      <c r="B249" s="10" t="s">
        <v>808</v>
      </c>
      <c r="C249" s="10" t="s">
        <v>809</v>
      </c>
      <c r="D249" s="10" t="s">
        <v>810</v>
      </c>
    </row>
    <row r="250" spans="2:4" x14ac:dyDescent="0.25">
      <c r="B250" s="10" t="s">
        <v>811</v>
      </c>
      <c r="C250" s="10" t="s">
        <v>812</v>
      </c>
      <c r="D250" s="10" t="s">
        <v>813</v>
      </c>
    </row>
    <row r="251" spans="2:4" x14ac:dyDescent="0.25">
      <c r="B251" s="10" t="s">
        <v>814</v>
      </c>
      <c r="C251" s="10" t="s">
        <v>815</v>
      </c>
      <c r="D251" s="10" t="s">
        <v>816</v>
      </c>
    </row>
    <row r="252" spans="2:4" x14ac:dyDescent="0.25">
      <c r="B252" s="10" t="s">
        <v>817</v>
      </c>
      <c r="C252" s="10" t="s">
        <v>818</v>
      </c>
      <c r="D252" s="10" t="s">
        <v>819</v>
      </c>
    </row>
    <row r="253" spans="2:4" x14ac:dyDescent="0.25">
      <c r="B253" s="10" t="s">
        <v>820</v>
      </c>
      <c r="C253" s="10" t="s">
        <v>821</v>
      </c>
      <c r="D253" s="10" t="s">
        <v>822</v>
      </c>
    </row>
    <row r="254" spans="2:4" x14ac:dyDescent="0.25">
      <c r="B254" s="10" t="s">
        <v>823</v>
      </c>
      <c r="C254" s="10" t="s">
        <v>824</v>
      </c>
      <c r="D254" s="10" t="s">
        <v>825</v>
      </c>
    </row>
    <row r="255" spans="2:4" x14ac:dyDescent="0.25">
      <c r="B255" s="10" t="s">
        <v>826</v>
      </c>
      <c r="C255" s="10" t="s">
        <v>827</v>
      </c>
      <c r="D255" s="10" t="s">
        <v>828</v>
      </c>
    </row>
    <row r="256" spans="2:4" x14ac:dyDescent="0.25">
      <c r="B256" s="11" t="s">
        <v>794</v>
      </c>
      <c r="C256" s="18" t="s">
        <v>829</v>
      </c>
      <c r="D256" s="11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Mirjeta Duraku</cp:lastModifiedBy>
  <cp:lastPrinted>2024-02-29T14:35:39Z</cp:lastPrinted>
  <dcterms:created xsi:type="dcterms:W3CDTF">2015-03-12T08:53:45Z</dcterms:created>
  <dcterms:modified xsi:type="dcterms:W3CDTF">2024-12-09T09:32:24Z</dcterms:modified>
</cp:coreProperties>
</file>